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dtsc20021\090_健康福祉部\11316_kaigohoken\020_企画監査Ｇ\22 地域密着型サービス等指定・指導\11 最新版 ＨＰ用\04 処遇改善加算\R6計画\"/>
    </mc:Choice>
  </mc:AlternateContent>
  <xr:revisionPtr revIDLastSave="0" documentId="13_ncr:1_{1507AF71-C8FF-457C-A08B-BE343658FF79}" xr6:coauthVersionLast="45" xr6:coauthVersionMax="47" xr10:uidLastSave="{00000000-0000-0000-0000-000000000000}"/>
  <bookViews>
    <workbookView xWindow="1560" yWindow="315" windowWidth="16335" windowHeight="1060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H57" i="38" l="1"/>
  <c r="BA48" i="46" l="1"/>
  <c r="BA48" i="45"/>
  <c r="BA48" i="44"/>
  <c r="BA48" i="43"/>
  <c r="BA48" i="42"/>
  <c r="BA48" i="39"/>
  <c r="BA48" i="12"/>
  <c r="BA48" i="40"/>
  <c r="G49" i="40"/>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BA48" i="41" s="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<sst xmlns="http://schemas.openxmlformats.org/spreadsheetml/2006/main" count="6878" uniqueCount="2437">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</sst>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6429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4813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280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098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5492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271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4813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007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007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152900"/>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705350"/>
              <a:ext cx="304800" cy="714375"/>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572123"/>
              <a:ext cx="304800" cy="698090"/>
              <a:chOff x="4549825" y="5456611"/>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5721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8918357"/>
              <a:ext cx="304800" cy="371475"/>
              <a:chOff x="5763126" y="8931947"/>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438900"/>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57150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161925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0496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133850"/>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7018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4342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049350"/>
              <a:ext cx="220577" cy="694590"/>
              <a:chOff x="5767612" y="8168770"/>
              <a:chExt cx="217575" cy="79245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0486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133850"/>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711791"/>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572125"/>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438900"/>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218073"/>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218101"/>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048625"/>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0486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041977"/>
              <a:ext cx="200248" cy="744722"/>
              <a:chOff x="4538964" y="8166071"/>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205050"/>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133850"/>
              <a:ext cx="304800" cy="400050"/>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686300"/>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553073"/>
              <a:ext cx="304800" cy="698090"/>
              <a:chOff x="4549825" y="5456620"/>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55307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8899307"/>
              <a:ext cx="304800" cy="371475"/>
              <a:chOff x="5763126" y="8931971"/>
              <a:chExt cx="301792" cy="49475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419850"/>
              <a:ext cx="304800" cy="638175"/>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03062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114800"/>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68279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41518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030300"/>
              <a:ext cx="220577" cy="694590"/>
              <a:chOff x="5767514" y="8168735"/>
              <a:chExt cx="217614" cy="79255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02957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114800"/>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692741"/>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553075"/>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419850"/>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199023"/>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199051"/>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029575"/>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02957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022927"/>
              <a:ext cx="200248" cy="744722"/>
              <a:chOff x="4538999" y="816599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187536"/>
              <a:ext cx="207416" cy="718640"/>
              <a:chOff x="5898942" y="730524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114800"/>
              <a:ext cx="304800" cy="400050"/>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667250"/>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534023"/>
              <a:ext cx="304800" cy="698090"/>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534025"/>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8880257"/>
              <a:ext cx="304800" cy="37147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400800"/>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0115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095750"/>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663742"/>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396134"/>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011250"/>
              <a:ext cx="220577" cy="69459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0105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095750"/>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673691"/>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534025"/>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400800"/>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1799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1800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0105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0105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003877"/>
              <a:ext cx="200248" cy="744722"/>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166950"/>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676775"/>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400800"/>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171950"/>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724400"/>
              <a:ext cx="304800" cy="714375"/>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591173"/>
              <a:ext cx="304800" cy="698090"/>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59117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8937407"/>
              <a:ext cx="304800" cy="371475"/>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457950"/>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104775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06872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152900"/>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72089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45328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068400"/>
              <a:ext cx="220577" cy="694590"/>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06767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152900"/>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730841"/>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591175"/>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457950"/>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237123"/>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237151"/>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067675"/>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06767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061027"/>
              <a:ext cx="200248" cy="744722"/>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224100"/>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1"/>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57150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161925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70"/>
              <a:chExt cx="217575" cy="79245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4" y="8166071"/>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114800"/>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667250"/>
              <a:ext cx="304800" cy="714375"/>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534023"/>
              <a:ext cx="304800" cy="698090"/>
              <a:chOff x="4549825" y="5456611"/>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534025"/>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8880257"/>
              <a:ext cx="304800" cy="371475"/>
              <a:chOff x="5763126" y="8931947"/>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400800"/>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47625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152400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0115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095750"/>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663742"/>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396134"/>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011250"/>
              <a:ext cx="220577" cy="694590"/>
              <a:chOff x="5767612" y="8168770"/>
              <a:chExt cx="217575" cy="79245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0105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095750"/>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673691"/>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534025"/>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400800"/>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179973"/>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180001"/>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010525"/>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0105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003877"/>
              <a:ext cx="200248" cy="744722"/>
              <a:chOff x="4538964" y="8166071"/>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166950"/>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1"/>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76200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180975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70"/>
              <a:chExt cx="217575" cy="79245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4" y="8166071"/>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16242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714875"/>
              <a:ext cx="304800" cy="714375"/>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581648"/>
              <a:ext cx="304800" cy="698090"/>
              <a:chOff x="4549825" y="5456611"/>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5816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8927882"/>
              <a:ext cx="304800" cy="371475"/>
              <a:chOff x="5763126" y="8931947"/>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448425"/>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28575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133350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0592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1433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7113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4437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058875"/>
              <a:ext cx="220577" cy="694590"/>
              <a:chOff x="5767612" y="8168770"/>
              <a:chExt cx="217575" cy="79245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0581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14337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72131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58165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44842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2275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22762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0581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0581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051502"/>
              <a:ext cx="200248" cy="744722"/>
              <a:chOff x="4538964" y="8166071"/>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214575"/>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1814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733925"/>
              <a:ext cx="304800" cy="714375"/>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00698"/>
              <a:ext cx="304800" cy="698090"/>
              <a:chOff x="4549825" y="5456611"/>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007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8946932"/>
              <a:ext cx="304800" cy="371475"/>
              <a:chOff x="5763126" y="8931947"/>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467475"/>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47625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152400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0782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1624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7304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4628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077925"/>
              <a:ext cx="220577" cy="694590"/>
              <a:chOff x="5767612" y="8168770"/>
              <a:chExt cx="217575" cy="79245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0772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1624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7403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007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4674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2466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2466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0772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0772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070552"/>
              <a:ext cx="200248" cy="744722"/>
              <a:chOff x="4538964" y="8166071"/>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233625"/>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16242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714875"/>
              <a:ext cx="304800" cy="714375"/>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581648"/>
              <a:ext cx="304800" cy="698090"/>
              <a:chOff x="4549825" y="5456611"/>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58165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8927882"/>
              <a:ext cx="304800" cy="371475"/>
              <a:chOff x="5763126" y="8931947"/>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448425"/>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47625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152400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05920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14337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71136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44375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058875"/>
              <a:ext cx="220577" cy="694590"/>
              <a:chOff x="5767612" y="8168770"/>
              <a:chExt cx="217575" cy="79245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05815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14337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72131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58165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44842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22759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22762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05815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05815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051502"/>
              <a:ext cx="200248" cy="744722"/>
              <a:chOff x="4538964" y="8166071"/>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214575"/>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12781520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6008224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10581520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3808224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2.2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2429</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3.75"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3.7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46</xdr:row>
                    <xdr:rowOff>57150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161925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2430</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2.25"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8"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8" ht="15.95" customHeight="1">
      <c r="U57" s="1012" t="s">
        <v>2203</v>
      </c>
      <c r="V57" s="1012"/>
      <c r="W57" s="1012"/>
      <c r="X57" s="1012"/>
      <c r="Y57" s="1012"/>
      <c r="Z57" s="532"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2204</v>
      </c>
      <c r="V58" s="1124"/>
      <c r="W58" s="1124"/>
      <c r="X58" s="1124"/>
      <c r="Y58" s="1124"/>
      <c r="Z58" s="532"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2205</v>
      </c>
      <c r="V59" s="1124"/>
      <c r="W59" s="1124"/>
      <c r="X59" s="1124"/>
      <c r="Y59" s="1124"/>
      <c r="Z59" s="532"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2206</v>
      </c>
      <c r="V60" s="1124"/>
      <c r="W60" s="1124"/>
      <c r="X60" s="1124"/>
      <c r="Y60" s="1124"/>
      <c r="Z60" s="532"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2207</v>
      </c>
      <c r="V61" s="1124"/>
      <c r="W61" s="1124"/>
      <c r="X61" s="1124"/>
      <c r="Y61" s="1124"/>
      <c r="Z61" s="532"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2208</v>
      </c>
      <c r="V62" s="1124"/>
      <c r="W62" s="1124"/>
      <c r="X62" s="1124"/>
      <c r="Y62" s="1124"/>
      <c r="Z62" s="532"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2209</v>
      </c>
      <c r="V63" s="1012"/>
      <c r="W63" s="1012"/>
      <c r="X63" s="1012"/>
      <c r="Y63" s="1012"/>
      <c r="Z63" s="532"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2291</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1334567890</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11.4</v>
      </c>
      <c r="Q5" s="1104"/>
      <c r="R5" s="1104"/>
      <c r="S5" s="1105" t="s">
        <v>7</v>
      </c>
      <c r="T5" s="1106"/>
      <c r="U5" s="1106"/>
      <c r="V5" s="1106"/>
      <c r="W5" s="1106"/>
      <c r="X5" s="1107"/>
      <c r="Y5" s="1123" t="s">
        <v>260</v>
      </c>
      <c r="Z5" s="1123"/>
      <c r="AA5" s="1123"/>
      <c r="AB5" s="1123"/>
      <c r="AC5" s="1123"/>
      <c r="AD5" s="1123"/>
      <c r="AE5" s="1156">
        <v>225000</v>
      </c>
      <c r="AF5" s="1157"/>
      <c r="AG5" s="1157"/>
      <c r="AH5" s="1158"/>
      <c r="AI5" s="1156">
        <v>40000</v>
      </c>
      <c r="AJ5" s="1157"/>
      <c r="AK5" s="1157"/>
      <c r="AL5" s="1158"/>
      <c r="AM5" s="1159">
        <f>AE5-AI5</f>
        <v>185000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補助金を取得する場合、４月からベア加算の算定が必要。その場合、６月以降は自然と新加算Ⅱに移行可能。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9</v>
      </c>
      <c r="C9" s="1114"/>
      <c r="D9" s="1114"/>
      <c r="E9" s="1114"/>
      <c r="F9" s="1115"/>
      <c r="G9" s="1116" t="s">
        <v>10</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0.224</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0.13700000000000001</v>
      </c>
      <c r="C10" s="1069"/>
      <c r="D10" s="1069"/>
      <c r="E10" s="1069"/>
      <c r="F10" s="1070"/>
      <c r="G10" s="1068">
        <f>IFERROR(VLOOKUP(Y5,【参考】数式用!$A$5:$J$27,MATCH(G9,【参考】数式用!$B$4:$J$4,0)+1,0),"")</f>
        <v>4.2000000000000003E-2</v>
      </c>
      <c r="H10" s="1069"/>
      <c r="I10" s="1069"/>
      <c r="J10" s="1069"/>
      <c r="K10" s="1070"/>
      <c r="L10" s="1068">
        <f>IFERROR(VLOOKUP(Y5,【参考】数式用!$A$5:$J$27,MATCH(L9,【参考】数式用!$B$4:$J$4,0)+1,0),"")</f>
        <v>0</v>
      </c>
      <c r="M10" s="1069"/>
      <c r="N10" s="1069"/>
      <c r="O10" s="1069"/>
      <c r="P10" s="1070"/>
      <c r="Q10" s="1036">
        <f>SUM(B10,G10,L10)</f>
        <v>0.17900000000000002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新加算Ⅴ(３)</v>
      </c>
      <c r="W11" s="1138"/>
      <c r="X11" s="1138"/>
      <c r="Y11" s="1138"/>
      <c r="Z11" s="1138"/>
      <c r="AA11" s="1152" t="str">
        <f>IFERROR(VLOOKUP(AS1,【参考】数式用2!E6:L23,6,FALSE),"")</f>
        <v>４月からベア加算を算定せず、６月から月額賃金改善要件Ⅱも満たさない場合、Ⅴ(３)となる。なお、R7年度以降は月額賃金改善要件Ⅱが必要。</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0.2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f>IFERROR(VLOOKUP(AS1,【参考】数式用2!E6:L23,8,FALSE),"")</f>
        <v>0</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203" t="s">
        <v>2283</v>
      </c>
      <c r="F15" s="147">
        <v>4</v>
      </c>
      <c r="G15" s="203" t="s">
        <v>2284</v>
      </c>
      <c r="H15" s="1076" t="s">
        <v>2285</v>
      </c>
      <c r="I15" s="1076"/>
      <c r="J15" s="1089"/>
      <c r="K15" s="147">
        <v>7</v>
      </c>
      <c r="L15" s="203" t="s">
        <v>2283</v>
      </c>
      <c r="M15" s="147">
        <v>3</v>
      </c>
      <c r="N15" s="203" t="s">
        <v>2284</v>
      </c>
      <c r="O15" s="203" t="s">
        <v>2286</v>
      </c>
      <c r="P15" s="204">
        <f>(K15*12+M15)-(D15*12+F15)+1</f>
        <v>12</v>
      </c>
      <c r="Q15" s="1076" t="s">
        <v>2287</v>
      </c>
      <c r="R15" s="1076"/>
      <c r="S15" s="205" t="s">
        <v>74</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3.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3.75"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219"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219"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219"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219" t="str">
        <f>IFERROR(IF(B9="処遇加算Ⅰ","✓",""),"")</f>
        <v>✓</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219" t="str">
        <f>IFERROR(IF(OR(G9="特定加算Ⅰ",G9="特定加算Ⅱ"),"✓",""),"")</f>
        <v>✓</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2223</v>
      </c>
      <c r="C40" s="1018"/>
      <c r="D40" s="1018"/>
      <c r="E40" s="1018"/>
      <c r="F40" s="1018"/>
      <c r="G40" s="1017" t="str">
        <f>IFERROR(VLOOKUP(Y5,【参考】数式用!AS5:AT27,2,0),"")</f>
        <v>　特定事業所加算ⅠまたはⅡを算定する。</v>
      </c>
      <c r="H40" s="1017"/>
      <c r="I40" s="1017"/>
      <c r="J40" s="1017"/>
      <c r="K40" s="1017"/>
      <c r="L40" s="1017"/>
      <c r="M40" s="1017"/>
      <c r="N40" s="1017"/>
      <c r="O40" s="1017"/>
      <c r="P40" s="1017"/>
      <c r="Q40" s="1017"/>
      <c r="R40" s="1017"/>
      <c r="S40" s="1017"/>
      <c r="T40" s="1017"/>
      <c r="U40" s="192"/>
      <c r="V40" s="219"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219" t="str">
        <f>IFERROR(IF(OR(G9="特定加算Ⅰ",G9="特定加算Ⅱ"),"✓",""),"")</f>
        <v>✓</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0.13700000000000001</v>
      </c>
      <c r="H50" s="1032"/>
      <c r="I50" s="1032"/>
      <c r="J50" s="1032"/>
      <c r="K50" s="1033"/>
      <c r="L50" s="1031">
        <f>IFERROR(VLOOKUP(Y5,【参考】数式用!$A$5:$J$27,MATCH(L49,【参考】数式用!$B$4:$J$4,0)+1,0),"")</f>
        <v>4.2000000000000003E-2</v>
      </c>
      <c r="M50" s="1032"/>
      <c r="N50" s="1032"/>
      <c r="O50" s="1032"/>
      <c r="P50" s="1034"/>
      <c r="Q50" s="1035">
        <f>IFERROR(VLOOKUP(Y5,【参考】数式用!$A$5:$J$27,MATCH(Q49,【参考】数式用!$B$4:$J$4,0)+1,0),"")</f>
        <v>2.4E-2</v>
      </c>
      <c r="R50" s="1032"/>
      <c r="S50" s="1032"/>
      <c r="T50" s="1032"/>
      <c r="U50" s="1034"/>
      <c r="V50" s="1036">
        <f>SUM(G50,L50,Q50)</f>
        <v>0.20300000000000001</v>
      </c>
      <c r="W50" s="1037"/>
      <c r="X50" s="1037"/>
      <c r="Y50" s="1037"/>
      <c r="Z50" s="1037"/>
      <c r="AA50" s="1043"/>
      <c r="AB50" s="1043"/>
      <c r="AC50" s="1038">
        <f>IFERROR(VLOOKUP(Y5,【参考】数式用!$A$5:$AB$27,MATCH(AC49,【参考】数式用!$B$4:$AB$4,0)+1,FALSE),"")</f>
        <v>0.224</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577866</v>
      </c>
      <c r="H51" s="1048"/>
      <c r="I51" s="1048"/>
      <c r="J51" s="1048"/>
      <c r="K51" s="148" t="s">
        <v>2289</v>
      </c>
      <c r="L51" s="1051">
        <f>IFERROR(ROUNDDOWN(ROUND(AM5*L50,0)*P5,0)*H53,"")</f>
        <v>177156</v>
      </c>
      <c r="M51" s="1048"/>
      <c r="N51" s="1048"/>
      <c r="O51" s="1048"/>
      <c r="P51" s="148" t="s">
        <v>2289</v>
      </c>
      <c r="Q51" s="1051">
        <f>IFERROR(ROUNDDOWN(ROUND(AM5*Q50,0)*P5,0)*H53,"")</f>
        <v>101232</v>
      </c>
      <c r="R51" s="1048"/>
      <c r="S51" s="1048"/>
      <c r="T51" s="1048"/>
      <c r="U51" s="149" t="s">
        <v>2289</v>
      </c>
      <c r="V51" s="1058">
        <f>IFERROR(SUM(G51,L51,Q51),"")</f>
        <v>856254</v>
      </c>
      <c r="W51" s="1059"/>
      <c r="X51" s="1059"/>
      <c r="Y51" s="1059"/>
      <c r="Z51" s="150" t="s">
        <v>2289</v>
      </c>
      <c r="AB51" s="151"/>
      <c r="AC51" s="1051">
        <f>IFERROR(ROUNDDOWN(ROUND(AM5*AC50,0)*P5,0)*AD53,"")</f>
        <v>4724160</v>
      </c>
      <c r="AD51" s="1048"/>
      <c r="AE51" s="1048"/>
      <c r="AF51" s="1048"/>
      <c r="AG51" s="1048"/>
      <c r="AH51" s="149" t="s">
        <v>2289</v>
      </c>
      <c r="AS51" s="1011">
        <f>IFERROR(ROUNDDOWN(ROUND(AM5*(G50-B10),0)*P5,0)*H53,"")</f>
        <v>0</v>
      </c>
      <c r="AT51" s="1011"/>
      <c r="AU51" s="1011"/>
      <c r="AV51" s="1011"/>
      <c r="AW51" s="1011">
        <f>IFERROR(ROUNDDOWN(ROUND(AM5*(L50-G10),0)*P5,0)*H53,"")</f>
        <v>0</v>
      </c>
      <c r="AX51" s="1011"/>
      <c r="AY51" s="1011"/>
      <c r="AZ51" s="1011"/>
      <c r="BA51" s="1011">
        <f>IFERROR(ROUNDDOWN(ROUND(AM5*(Q50-L10),0)*P5,0)*H53,"")</f>
        <v>101232</v>
      </c>
      <c r="BB51" s="1011"/>
      <c r="BC51" s="1011"/>
      <c r="BD51" s="1011"/>
      <c r="BE51" s="1011">
        <f>IFERROR(ROUNDDOWN(ROUND(AM5*(AC50-Q10),0)*P5,0)*AD53,"")</f>
        <v>949050</v>
      </c>
      <c r="BF51" s="1011"/>
      <c r="BG51" s="1011"/>
      <c r="BH51" s="1011"/>
      <c r="BI51" s="1011">
        <f>SUM(AS51:BH51)</f>
        <v>1050282</v>
      </c>
      <c r="BJ51" s="1011"/>
      <c r="BK51" s="1011"/>
      <c r="BL51" s="1011"/>
      <c r="BM51" s="241"/>
      <c r="BN51" s="1011">
        <f>IFERROR(ROUNDDOWN(ROUNDDOWN(ROUND(AM5*(VLOOKUP(Y5,【参考】数式用!$A$5:$AB$27,14,FALSE)),0)*P5,0)*AD53*0.5,0),"")</f>
        <v>1529025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(288,933円/月)</v>
      </c>
      <c r="H52" s="1050"/>
      <c r="I52" s="1050"/>
      <c r="J52" s="1050"/>
      <c r="K52" s="1050"/>
      <c r="L52" s="1050" t="str">
        <f>IFERROR("("&amp;TEXT(L51/H53,"#,##0円")&amp;"/月)","")</f>
        <v>(88,578円/月)</v>
      </c>
      <c r="M52" s="1050"/>
      <c r="N52" s="1050"/>
      <c r="O52" s="1050"/>
      <c r="P52" s="1050"/>
      <c r="Q52" s="1050" t="str">
        <f>IFERROR("("&amp;TEXT(Q51/H53,"#,##0円")&amp;"/月)","")</f>
        <v>(50,616円/月)</v>
      </c>
      <c r="R52" s="1050"/>
      <c r="S52" s="1050"/>
      <c r="T52" s="1050"/>
      <c r="U52" s="1050"/>
      <c r="V52" s="1050" t="str">
        <f>IFERROR("("&amp;TEXT(V51/H53,"#,##0円")&amp;"/月)","")</f>
        <v>(428,127円/月)</v>
      </c>
      <c r="W52" s="1050"/>
      <c r="X52" s="1050"/>
      <c r="Y52" s="1050"/>
      <c r="Z52" s="1050"/>
      <c r="AB52" s="151"/>
      <c r="AC52" s="1052" t="str">
        <f>IFERROR("("&amp;TEXT(AC51/AD53,"#,##0円")&amp;"/月)","")</f>
        <v>(472,416円/月)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252">
        <f>IF(AND(B9&lt;&gt;"処遇加算なし",F15=4),IF(V21="✓",1,IF(V22="✓",2,"")),"")</f>
        <v>2</v>
      </c>
      <c r="AA57" s="245"/>
      <c r="AB57" s="249"/>
      <c r="AC57" s="1012" t="s">
        <v>2203</v>
      </c>
      <c r="AD57" s="1012"/>
      <c r="AE57" s="1012"/>
      <c r="AF57" s="1012"/>
      <c r="AG57" s="1012"/>
      <c r="AH57" s="170">
        <v>1</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252">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252">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252">
        <f>IF(AND(B9&lt;&gt;"処遇加算なし",F15=4),IF(V32="✓",1,IF(V33="✓",2,"")),"")</f>
        <v>1</v>
      </c>
      <c r="AA60" s="245"/>
      <c r="AB60" s="249"/>
      <c r="AC60" s="1124" t="s">
        <v>2206</v>
      </c>
      <c r="AD60" s="1124"/>
      <c r="AE60" s="1124"/>
      <c r="AF60" s="1124"/>
      <c r="AG60" s="1124"/>
      <c r="AH60" s="170">
        <v>1</v>
      </c>
      <c r="AI60" s="253"/>
      <c r="AJ60" s="249"/>
      <c r="AK60" s="1124" t="s">
        <v>2206</v>
      </c>
      <c r="AL60" s="1124"/>
      <c r="AM60" s="1124"/>
      <c r="AN60" s="1124"/>
      <c r="AO60" s="1124"/>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252">
        <f>IF(AND(B9&lt;&gt;"処遇加算なし",F15=4),IF(V36="✓",1,IF(V37="✓",2,"")),"")</f>
        <v>1</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252">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252">
        <f>IF(AND(B9&lt;&gt;"処遇加算なし",F15=4),IF(V44="✓",1,IF(V45="✓",2,"")),"")</f>
        <v>1</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uwdZxbcbCNUn1LgswxtAbGdLuWygSYypcHuhmpvQzF2Y8g2jPoum5eMgF6Fzb8cTAH53WymqToW5qxqX1MnFA==" saltValue="JYQ0m+HeUQUU5gwU3q9O6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2423</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1334567891</v>
      </c>
      <c r="C5" s="1139"/>
      <c r="D5" s="1139"/>
      <c r="E5" s="1139"/>
      <c r="F5" s="1139"/>
      <c r="G5" s="1100" t="s">
        <v>4</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2431</v>
      </c>
      <c r="T5" s="1106"/>
      <c r="U5" s="1106"/>
      <c r="V5" s="1106"/>
      <c r="W5" s="1106"/>
      <c r="X5" s="1107"/>
      <c r="Y5" s="1123" t="s">
        <v>281</v>
      </c>
      <c r="Z5" s="1123"/>
      <c r="AA5" s="1123"/>
      <c r="AB5" s="1123"/>
      <c r="AC5" s="1123"/>
      <c r="AD5" s="1123"/>
      <c r="AE5" s="1156">
        <v>385000</v>
      </c>
      <c r="AF5" s="1157"/>
      <c r="AG5" s="1157"/>
      <c r="AH5" s="1158"/>
      <c r="AI5" s="1156">
        <v>80000</v>
      </c>
      <c r="AJ5" s="1157"/>
      <c r="AK5" s="1157"/>
      <c r="AL5" s="1158"/>
      <c r="AM5" s="1159">
        <f>AE5-AI5</f>
        <v>305000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新加算Ⅱ</v>
      </c>
      <c r="W8" s="1142"/>
      <c r="X8" s="1142"/>
      <c r="Y8" s="1142"/>
      <c r="Z8" s="1143"/>
      <c r="AA8" s="1152"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113" t="s">
        <v>267</v>
      </c>
      <c r="C9" s="1114"/>
      <c r="D9" s="1114"/>
      <c r="E9" s="1114"/>
      <c r="F9" s="1115"/>
      <c r="G9" s="1116" t="s">
        <v>13</v>
      </c>
      <c r="H9" s="1117"/>
      <c r="I9" s="1117"/>
      <c r="J9" s="1117"/>
      <c r="K9" s="1118"/>
      <c r="L9" s="1119" t="s">
        <v>15</v>
      </c>
      <c r="M9" s="1120"/>
      <c r="N9" s="1120"/>
      <c r="O9" s="1120"/>
      <c r="P9" s="1121"/>
      <c r="Q9" s="1108" t="s">
        <v>2200</v>
      </c>
      <c r="R9" s="1109"/>
      <c r="S9" s="1109"/>
      <c r="T9" s="1041"/>
      <c r="U9" s="1042"/>
      <c r="V9" s="1144">
        <f>IFERROR(VLOOKUP(Y5,【参考】数式用!$A$5:$AB$27,MATCH(V8,【参考】数式用!$B$4:$AB$4,0)+1,FALSE),"")</f>
        <v>8.9999999999999983E-2</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4.2999999999999997E-2</v>
      </c>
      <c r="C10" s="1069"/>
      <c r="D10" s="1069"/>
      <c r="E10" s="1069"/>
      <c r="F10" s="1070"/>
      <c r="G10" s="1068">
        <f>IFERROR(VLOOKUP(Y5,【参考】数式用!$A$5:$J$27,MATCH(G9,【参考】数式用!$B$4:$J$4,0)+1,0),"")</f>
        <v>0</v>
      </c>
      <c r="H10" s="1069"/>
      <c r="I10" s="1069"/>
      <c r="J10" s="1069"/>
      <c r="K10" s="1070"/>
      <c r="L10" s="1068">
        <f>IFERROR(VLOOKUP(Y5,【参考】数式用!$A$5:$J$27,MATCH(L9,【参考】数式用!$B$4:$J$4,0)+1,0),"")</f>
        <v>1.0999999999999999E-2</v>
      </c>
      <c r="M10" s="1069"/>
      <c r="N10" s="1069"/>
      <c r="O10" s="1069"/>
      <c r="P10" s="1070"/>
      <c r="Q10" s="1036">
        <f>SUM(B10,G10,L10)</f>
        <v>5.3999999999999992E-2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新加算Ⅲ</v>
      </c>
      <c r="W11" s="1138"/>
      <c r="X11" s="1138"/>
      <c r="Y11" s="1138"/>
      <c r="Z11" s="1138"/>
      <c r="AA11" s="1152" t="str">
        <f>IFERROR(VLOOKUP(AS1,【参考】数式用2!E6:L23,6,FALSE),"")</f>
        <v>キャリアパス要件Ⅲを「R6年度中の対応の誓約」で満たし、４月から旧処遇加算Ⅰを算定可。その場合、６月以降は自然と新加算Ⅲに移行可能。</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7.9999999999999988E-2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新加算Ⅳ</v>
      </c>
      <c r="W14" s="1138"/>
      <c r="X14" s="1138"/>
      <c r="Y14" s="1138"/>
      <c r="Z14" s="1138"/>
      <c r="AA14" s="1162"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6.3999999999999987E-2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6"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t="s">
        <v>2271</v>
      </c>
      <c r="AE41" s="1056"/>
      <c r="AF41" s="1056"/>
      <c r="AG41" s="1056"/>
      <c r="AH41" s="1057"/>
      <c r="AI41" s="1041"/>
      <c r="AJ41" s="1042"/>
      <c r="AK41" s="234" t="s">
        <v>90</v>
      </c>
      <c r="AL41" s="1055" t="s">
        <v>2271</v>
      </c>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8.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
      </c>
      <c r="BB48" s="1013"/>
      <c r="BC48" s="1013"/>
      <c r="BD48" s="1013"/>
      <c r="BE48" s="1140" t="str">
        <f>AS48&amp;AW48&amp;BA48</f>
        <v>処遇加算Ⅰ特定加算Ⅱ</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処遇加算Ⅰ</v>
      </c>
      <c r="H49" s="1046"/>
      <c r="I49" s="1046"/>
      <c r="J49" s="1046"/>
      <c r="K49" s="1047"/>
      <c r="L49" s="1045" t="str">
        <f>IFERROR(IF(G9="","",IF(AND(OR(AH61=1,AH61=2),AH62=1,AH63=1),"特定加算Ⅰ",IF(AND(OR(AH61=1,AH61=2),AH62=2,AH63=1),"特定加算Ⅱ",IF(OR(AH61=3,AH62=2,AH63=2),"特定加算なし","")))),"")</f>
        <v>特定加算Ⅱ</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f>IFERROR(VLOOKUP(Y5,【参考】数式用!$A$5:$J$27,MATCH(G49,【参考】数式用!$B$4:$J$4,0)+1,0),"")</f>
        <v>5.8999999999999997E-2</v>
      </c>
      <c r="H50" s="1032"/>
      <c r="I50" s="1032"/>
      <c r="J50" s="1032"/>
      <c r="K50" s="1033"/>
      <c r="L50" s="1031">
        <f>IFERROR(VLOOKUP(Y5,【参考】数式用!$A$5:$J$27,MATCH(L49,【参考】数式用!$B$4:$J$4,0)+1,0),"")</f>
        <v>0.01</v>
      </c>
      <c r="M50" s="1032"/>
      <c r="N50" s="1032"/>
      <c r="O50" s="1032"/>
      <c r="P50" s="1034"/>
      <c r="Q50" s="1035">
        <f>IFERROR(VLOOKUP(Y5,【参考】数式用!$A$5:$J$27,MATCH(Q49,【参考】数式用!$B$4:$J$4,0)+1,0),"")</f>
        <v>1.0999999999999999E-2</v>
      </c>
      <c r="R50" s="1032"/>
      <c r="S50" s="1032"/>
      <c r="T50" s="1032"/>
      <c r="U50" s="1034"/>
      <c r="V50" s="1036">
        <f>SUM(G50,L50,Q50)</f>
        <v>7.9999999999999988E-2</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f>IFERROR(ROUNDDOWN(ROUND(AM5*G50,0)*P5,0)*H53,"")</f>
        <v>392290</v>
      </c>
      <c r="H51" s="1048"/>
      <c r="I51" s="1048"/>
      <c r="J51" s="1048"/>
      <c r="K51" s="148" t="s">
        <v>2289</v>
      </c>
      <c r="L51" s="1051">
        <f>IFERROR(ROUNDDOWN(ROUND(AM5*L50,0)*P5,0)*H53,"")</f>
        <v>66490</v>
      </c>
      <c r="M51" s="1048"/>
      <c r="N51" s="1048"/>
      <c r="O51" s="1048"/>
      <c r="P51" s="148" t="s">
        <v>2289</v>
      </c>
      <c r="Q51" s="1051">
        <f>IFERROR(ROUNDDOWN(ROUND(AM5*Q50,0)*P5,0)*H53,"")</f>
        <v>73138</v>
      </c>
      <c r="R51" s="1048"/>
      <c r="S51" s="1048"/>
      <c r="T51" s="1048"/>
      <c r="U51" s="149" t="s">
        <v>2289</v>
      </c>
      <c r="V51" s="1058">
        <f>IFERROR(SUM(G51,L51,Q51),"")</f>
        <v>531918</v>
      </c>
      <c r="W51" s="1059"/>
      <c r="X51" s="1059"/>
      <c r="Y51" s="1059"/>
      <c r="Z51" s="150" t="s">
        <v>2289</v>
      </c>
      <c r="AB51" s="151"/>
      <c r="AC51" s="1051" t="str">
        <f>IFERROR(ROUNDDOWN(ROUND(AM5*AC50,0)*P5,0)*AD53,"")</f>
        <v/>
      </c>
      <c r="AD51" s="1048"/>
      <c r="AE51" s="1048"/>
      <c r="AF51" s="1048"/>
      <c r="AG51" s="1048"/>
      <c r="AH51" s="149" t="s">
        <v>2289</v>
      </c>
      <c r="AS51" s="1011">
        <f>IFERROR(ROUNDDOWN(ROUND(AM5*(G50-B10),0)*P5,0)*H53,"")</f>
        <v>106384</v>
      </c>
      <c r="AT51" s="1011"/>
      <c r="AU51" s="1011"/>
      <c r="AV51" s="1011"/>
      <c r="AW51" s="1011">
        <f>IFERROR(ROUNDDOWN(ROUND(AM5*(L50-G10),0)*P5,0)*H53,"")</f>
        <v>66490</v>
      </c>
      <c r="AX51" s="1011"/>
      <c r="AY51" s="1011"/>
      <c r="AZ51" s="1011"/>
      <c r="BA51" s="1011">
        <f>IFERROR(ROUNDDOWN(ROUND(AM5*(Q50-L10),0)*P5,0)*H53,"")</f>
        <v>0</v>
      </c>
      <c r="BB51" s="1011"/>
      <c r="BC51" s="1011"/>
      <c r="BD51" s="1011"/>
      <c r="BE51" s="1011" t="str">
        <f>IFERROR(ROUNDDOWN(ROUND(AM5*(AC50-Q10),0)*P5,0)*AD53,"")</f>
        <v/>
      </c>
      <c r="BF51" s="1011"/>
      <c r="BG51" s="1011"/>
      <c r="BH51" s="1011"/>
      <c r="BI51" s="1011">
        <f>SUM(AS51:BH51)</f>
        <v>172874</v>
      </c>
      <c r="BJ51" s="1011"/>
      <c r="BK51" s="1011"/>
      <c r="BL51" s="1011"/>
      <c r="BM51" s="241"/>
      <c r="BN51" s="1011">
        <f>IFERROR(ROUNDDOWN(ROUNDDOWN(ROUND(AM5*(VLOOKUP(Y5,【参考】数式用!$A$5:$AB$27,14,FALSE)),0)*P5,0)*AD53*0.5,0),"")</f>
        <v>1063840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(196,145円/月)</v>
      </c>
      <c r="H52" s="1050"/>
      <c r="I52" s="1050"/>
      <c r="J52" s="1050"/>
      <c r="K52" s="1050"/>
      <c r="L52" s="1050" t="str">
        <f>IFERROR("("&amp;TEXT(L51/H53,"#,##0円")&amp;"/月)","")</f>
        <v>(33,245円/月)</v>
      </c>
      <c r="M52" s="1050"/>
      <c r="N52" s="1050"/>
      <c r="O52" s="1050"/>
      <c r="P52" s="1050"/>
      <c r="Q52" s="1050" t="str">
        <f>IFERROR("("&amp;TEXT(Q51/H53,"#,##0円")&amp;"/月)","")</f>
        <v>(36,569円/月)</v>
      </c>
      <c r="R52" s="1050"/>
      <c r="S52" s="1050"/>
      <c r="T52" s="1050"/>
      <c r="U52" s="1050"/>
      <c r="V52" s="1050" t="str">
        <f>IFERROR("("&amp;TEXT(V51/H53,"#,##0円")&amp;"/月)","")</f>
        <v>(265,959円/月)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f>IF(AND(B9&lt;&gt;"処遇加算なし",F15=4),IF(V21="✓",1,IF(V22="✓",2,"")),"")</f>
        <v>1</v>
      </c>
      <c r="AA57" s="245"/>
      <c r="AB57" s="249"/>
      <c r="AC57" s="1012" t="s">
        <v>2203</v>
      </c>
      <c r="AD57" s="1012"/>
      <c r="AE57" s="1012"/>
      <c r="AF57" s="1012"/>
      <c r="AG57" s="1012"/>
      <c r="AH57" s="170">
        <v>0</v>
      </c>
      <c r="AI57" s="253"/>
      <c r="AJ57" s="249"/>
      <c r="AK57" s="1012" t="s">
        <v>2203</v>
      </c>
      <c r="AL57" s="1012"/>
      <c r="AM57" s="1012"/>
      <c r="AN57" s="1012"/>
      <c r="AO57" s="1012"/>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f>IF(AND(B9&lt;&gt;"処遇加算なし",F15=4),IF(V24="✓",1,IF(V25="✓",2,IF(V26="✓",3,""))),"")</f>
        <v>1</v>
      </c>
      <c r="AA58" s="245"/>
      <c r="AB58" s="249"/>
      <c r="AC58" s="1124" t="s">
        <v>2204</v>
      </c>
      <c r="AD58" s="1124"/>
      <c r="AE58" s="1124"/>
      <c r="AF58" s="1124"/>
      <c r="AG58" s="1124"/>
      <c r="AH58" s="170">
        <v>1</v>
      </c>
      <c r="AI58" s="253"/>
      <c r="AJ58" s="249"/>
      <c r="AK58" s="1124" t="s">
        <v>2204</v>
      </c>
      <c r="AL58" s="1124"/>
      <c r="AM58" s="1124"/>
      <c r="AN58" s="1124"/>
      <c r="AO58" s="1124"/>
      <c r="AP58" s="170">
        <v>1</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f>IF(AND(B9&lt;&gt;"処遇加算なし",F15=4),IF(V28="✓",1,IF(V29="✓",2,IF(V30="✓",3,""))),"")</f>
        <v>1</v>
      </c>
      <c r="AA59" s="245"/>
      <c r="AB59" s="249"/>
      <c r="AC59" s="1124" t="s">
        <v>2205</v>
      </c>
      <c r="AD59" s="1124"/>
      <c r="AE59" s="1124"/>
      <c r="AF59" s="1124"/>
      <c r="AG59" s="1124"/>
      <c r="AH59" s="170">
        <v>1</v>
      </c>
      <c r="AI59" s="253"/>
      <c r="AJ59" s="249"/>
      <c r="AK59" s="1124" t="s">
        <v>2205</v>
      </c>
      <c r="AL59" s="1124"/>
      <c r="AM59" s="1124"/>
      <c r="AN59" s="1124"/>
      <c r="AO59" s="1124"/>
      <c r="AP59" s="170">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v>2</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v>1</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v>2</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v>1</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QwYunmiExOcMwHFImqe/v6S0R1xyg0XGB8dbdihLaZBgbhs4y2fEK2NPNaxfmZT+wvGu2M8YGPphkhfwFRxnQ==" saltValue="BTuC2VRl8k1P7aa8SLRXN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46</xdr:row>
                    <xdr:rowOff>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104775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2432</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1334567892</v>
      </c>
      <c r="C5" s="1139"/>
      <c r="D5" s="1139"/>
      <c r="E5" s="1139"/>
      <c r="F5" s="1139"/>
      <c r="G5" s="1100" t="s">
        <v>2436</v>
      </c>
      <c r="H5" s="1100"/>
      <c r="I5" s="1100"/>
      <c r="J5" s="1101" t="s">
        <v>5</v>
      </c>
      <c r="K5" s="1101"/>
      <c r="L5" s="1101"/>
      <c r="M5" s="1102" t="s">
        <v>6</v>
      </c>
      <c r="N5" s="1102"/>
      <c r="O5" s="1102"/>
      <c r="P5" s="1103">
        <f>IF(Y5="","",IFERROR(INDEX(【参考】数式用3!$G$3:$I$451,MATCH(M5,【参考】数式用3!$F$3:$F$451,0),MATCH(VLOOKUP(Y5,【参考】数式用3!$J$2:$K$26,2,FALSE),【参考】数式用3!$G$2:$I$2,0)),10))</f>
        <v>10.9</v>
      </c>
      <c r="Q5" s="1104"/>
      <c r="R5" s="1104"/>
      <c r="S5" s="1105" t="s">
        <v>2435</v>
      </c>
      <c r="T5" s="1106"/>
      <c r="U5" s="1106"/>
      <c r="V5" s="1106"/>
      <c r="W5" s="1106"/>
      <c r="X5" s="1107"/>
      <c r="Y5" s="1123" t="s">
        <v>284</v>
      </c>
      <c r="Z5" s="1123"/>
      <c r="AA5" s="1123"/>
      <c r="AB5" s="1123"/>
      <c r="AC5" s="1123"/>
      <c r="AD5" s="1123"/>
      <c r="AE5" s="1156">
        <v>325000</v>
      </c>
      <c r="AF5" s="1157"/>
      <c r="AG5" s="1157"/>
      <c r="AH5" s="1158"/>
      <c r="AI5" s="1156">
        <v>0</v>
      </c>
      <c r="AJ5" s="1157"/>
      <c r="AK5" s="1157"/>
      <c r="AL5" s="1158"/>
      <c r="AM5" s="1159">
        <f>AE5-AI5</f>
        <v>325000</v>
      </c>
      <c r="AN5" s="1160"/>
      <c r="AO5" s="1160"/>
      <c r="AP5" s="1161"/>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533">
        <v>10</v>
      </c>
      <c r="G15" s="530" t="s">
        <v>2284</v>
      </c>
      <c r="H15" s="1076" t="s">
        <v>2285</v>
      </c>
      <c r="I15" s="1076"/>
      <c r="J15" s="1089"/>
      <c r="K15" s="147">
        <v>7</v>
      </c>
      <c r="L15" s="530" t="s">
        <v>2283</v>
      </c>
      <c r="M15" s="147">
        <v>3</v>
      </c>
      <c r="N15" s="530" t="s">
        <v>2284</v>
      </c>
      <c r="O15" s="530" t="s">
        <v>2286</v>
      </c>
      <c r="P15" s="204">
        <f>(K15*12+M15)-(D15*12+F15)+1</f>
        <v>6</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v>1</v>
      </c>
      <c r="AH37" s="1181"/>
      <c r="AI37" s="1041"/>
      <c r="AJ37" s="1042"/>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サービス提供体制強化加算Ⅰ、Ⅱ、Ⅲイまたはロを算定する。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t="s">
        <v>2271</v>
      </c>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3.7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R6.10～R7.3</v>
      </c>
      <c r="AD48" s="1044"/>
      <c r="AE48" s="1044"/>
      <c r="AF48" s="1044"/>
      <c r="AG48" s="1044"/>
      <c r="AH48" s="1044"/>
      <c r="AS48" s="1013" t="str">
        <f>IFERROR(IF(AND(OR(AP58=1,AP58=2),OR(AP59=1,AP59=2),OR(AP60=1,AP60=2)),"処遇加算Ⅰ",IF(AND(OR(AP58=1,AP58=2),OR(AP59=1,AP59=2),OR(AP60=0,AP60=3)),"処遇加算Ⅱ",IF(OR(OR(AP58=1,AP58=2),OR(AP59=1,AP59=2)),"処遇加算Ⅲ",""))),"")</f>
        <v>処遇加算Ⅰ</v>
      </c>
      <c r="AT48" s="1013"/>
      <c r="AU48" s="1013"/>
      <c r="AV48" s="1013"/>
      <c r="AW48" s="1013" t="str">
        <f>IFERROR(IF(AND(OR(AP61=1,AP61=2),AP62=1,AP63=1),"特定加算Ⅰ",IF(AND(OR(AP61=1,AP61=2),AP62=2,AP63=1),"特定加算Ⅱ",IF(OR(AP61=3,AP62=2,AP63=2),"特定加算なし",""))),"")</f>
        <v>特定加算Ⅱ</v>
      </c>
      <c r="AX48" s="1013"/>
      <c r="AY48" s="1013"/>
      <c r="AZ48" s="1013"/>
      <c r="BA48" s="1013" t="str">
        <f>IFERROR(IF(AP57=1,"ベア加算",IF(AP57=2,"ベア加算なし","")),"")</f>
        <v>ベア加算</v>
      </c>
      <c r="BB48" s="1013"/>
      <c r="BC48" s="1013"/>
      <c r="BD48" s="1013"/>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新加算Ⅱ</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f>IFERROR(VLOOKUP(Y5,【参考】数式用!$A$5:$AB$27,MATCH(AC49,【参考】数式用!$B$4:$AB$4,0)+1,FALSE),"")</f>
        <v>8.9999999999999983E-2</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6"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f>IFERROR(ROUNDDOWN(ROUND(AM5*AC50,0)*P5,0)*AD53,"")</f>
        <v>1912950</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f>IFERROR(ROUNDDOWN(ROUND(AM5*(AC50-Q10),0)*P5,0)*AD53,"")</f>
        <v>1912950</v>
      </c>
      <c r="BF51" s="1011"/>
      <c r="BG51" s="1011"/>
      <c r="BH51" s="1011"/>
      <c r="BI51" s="1011">
        <f>SUM(AS51:BH51)</f>
        <v>1912950</v>
      </c>
      <c r="BJ51" s="1011"/>
      <c r="BK51" s="1011"/>
      <c r="BL51" s="1011"/>
      <c r="BM51" s="241"/>
      <c r="BN51" s="1011">
        <f>IFERROR(ROUNDDOWN(ROUNDDOWN(ROUND(AM5*(VLOOKUP(Y5,【参考】数式用!$A$5:$AB$27,14,FALSE)),0)*P5,0)*AD53*0.5,0),"")</f>
        <v>680160</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
      </c>
      <c r="W52" s="1050"/>
      <c r="X52" s="1050"/>
      <c r="Y52" s="1050"/>
      <c r="Z52" s="1050"/>
      <c r="AB52" s="151"/>
      <c r="AC52" s="1052" t="str">
        <f>IFERROR("("&amp;TEXT(AC51/AD53,"#,##0円")&amp;"/月)","")</f>
        <v>(318,825円/月)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9" t="s">
        <v>2420</v>
      </c>
      <c r="AT56" s="1169"/>
      <c r="AU56" s="1169"/>
      <c r="AV56" s="1169"/>
      <c r="AW56" s="1169" t="s">
        <v>2419</v>
      </c>
      <c r="AX56" s="1169"/>
      <c r="AY56" s="1169"/>
      <c r="AZ56" s="1169"/>
    </row>
    <row r="57" spans="2:86"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534">
        <f>IF(AND(F15&lt;&gt;4,F15&lt;&gt;5),0,IF(AT8="○",1,0))</f>
        <v>0</v>
      </c>
      <c r="AI57" s="253"/>
      <c r="AJ57" s="249"/>
      <c r="AK57" s="1012" t="s">
        <v>2203</v>
      </c>
      <c r="AL57" s="1012"/>
      <c r="AM57" s="1012"/>
      <c r="AN57" s="1012"/>
      <c r="AO57" s="1012"/>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534">
        <f>IF(AND(F15&lt;&gt;4,F15&lt;&gt;5),0,IF(AU8="○",1,3))</f>
        <v>0</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534">
        <f>IF(AND(F15&lt;&gt;4,F15&lt;&gt;5),0,IF(AV8="○",1,3))</f>
        <v>0</v>
      </c>
      <c r="AI59" s="253"/>
      <c r="AJ59" s="249"/>
      <c r="AK59" s="1124" t="s">
        <v>2205</v>
      </c>
      <c r="AL59" s="1124"/>
      <c r="AM59" s="1124"/>
      <c r="AN59" s="1124"/>
      <c r="AO59" s="1124"/>
      <c r="AP59" s="170">
        <v>2</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534">
        <f>IF(AND(F15&lt;&gt;4,F15&lt;&gt;5),0,IF(AW8="○",1,3))</f>
        <v>0</v>
      </c>
      <c r="AI60" s="253"/>
      <c r="AJ60" s="249"/>
      <c r="AK60" s="1124" t="s">
        <v>2206</v>
      </c>
      <c r="AL60" s="1124"/>
      <c r="AM60" s="1124"/>
      <c r="AN60" s="1124"/>
      <c r="AO60" s="1124"/>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534">
        <f>IF(AND(F15&lt;&gt;4,F15&lt;&gt;5),0,IF(AX8="○",1,2))</f>
        <v>0</v>
      </c>
      <c r="AI61" s="253"/>
      <c r="AJ61" s="249"/>
      <c r="AK61" s="1124" t="s">
        <v>2207</v>
      </c>
      <c r="AL61" s="1124"/>
      <c r="AM61" s="1124"/>
      <c r="AN61" s="1124"/>
      <c r="AO61" s="1124"/>
      <c r="AP61" s="170">
        <v>1</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534">
        <f>IF(AND(F15&lt;&gt;4,F15&lt;&gt;5),0,IF(AY8="○",1,2))</f>
        <v>0</v>
      </c>
      <c r="AI62" s="253"/>
      <c r="AJ62" s="249"/>
      <c r="AK62" s="1124" t="s">
        <v>2208</v>
      </c>
      <c r="AL62" s="1124"/>
      <c r="AM62" s="1124"/>
      <c r="AN62" s="1124"/>
      <c r="AO62" s="1124"/>
      <c r="AP62" s="170">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534">
        <f>IF(AND(F15&lt;&gt;4,F15&lt;&gt;5),0,IF(AZ8="○",1,2))</f>
        <v>0</v>
      </c>
      <c r="AI63" s="253"/>
      <c r="AJ63" s="249"/>
      <c r="AK63" s="1012" t="s">
        <v>2209</v>
      </c>
      <c r="AL63" s="1012"/>
      <c r="AM63" s="1012"/>
      <c r="AN63" s="1012"/>
      <c r="AO63" s="1012"/>
      <c r="AP63" s="170">
        <v>1</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MxAWukBxdF2g0FBO+exZCLV/E0xuspw69rXKgGWaU76h9hQxv9gf5mfW12/8ujdCpWVxWHfiqbRpCJPaXMTRg==" saltValue="ipsrHSYgiLD2Zya38I8jN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46</xdr:row>
                    <xdr:rowOff>57150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161925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2424</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39">
        <v>1334567893</v>
      </c>
      <c r="C5" s="1139"/>
      <c r="D5" s="1139"/>
      <c r="E5" s="1139"/>
      <c r="F5" s="1139"/>
      <c r="G5" s="1100" t="s">
        <v>2433</v>
      </c>
      <c r="H5" s="1100"/>
      <c r="I5" s="1100"/>
      <c r="J5" s="1101" t="s">
        <v>5</v>
      </c>
      <c r="K5" s="1101"/>
      <c r="L5" s="1101"/>
      <c r="M5" s="1102" t="s">
        <v>1320</v>
      </c>
      <c r="N5" s="1102"/>
      <c r="O5" s="1102"/>
      <c r="P5" s="1103">
        <f>IF(Y5="","",IFERROR(INDEX(【参考】数式用3!$G$3:$I$451,MATCH(M5,【参考】数式用3!$F$3:$F$451,0),MATCH(VLOOKUP(Y5,【参考】数式用3!$J$2:$K$26,2,FALSE),【参考】数式用3!$G$2:$I$2,0)),10))</f>
        <v>11.1</v>
      </c>
      <c r="Q5" s="1104"/>
      <c r="R5" s="1104"/>
      <c r="S5" s="1105" t="s">
        <v>2434</v>
      </c>
      <c r="T5" s="1106"/>
      <c r="U5" s="1106"/>
      <c r="V5" s="1106"/>
      <c r="W5" s="1106"/>
      <c r="X5" s="1107"/>
      <c r="Y5" s="1123" t="s">
        <v>292</v>
      </c>
      <c r="Z5" s="1123"/>
      <c r="AA5" s="1123"/>
      <c r="AB5" s="1123"/>
      <c r="AC5" s="1123"/>
      <c r="AD5" s="1123"/>
      <c r="AE5" s="1156">
        <v>425000</v>
      </c>
      <c r="AF5" s="1157"/>
      <c r="AG5" s="1157"/>
      <c r="AH5" s="1158"/>
      <c r="AI5" s="1156">
        <v>80000</v>
      </c>
      <c r="AJ5" s="1157"/>
      <c r="AK5" s="1157"/>
      <c r="AL5" s="1158"/>
      <c r="AM5" s="1159">
        <f>AE5-AI5</f>
        <v>345000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新加算Ⅳ</v>
      </c>
      <c r="W8" s="1142"/>
      <c r="X8" s="1142"/>
      <c r="Y8" s="1142"/>
      <c r="Z8" s="1143"/>
      <c r="AA8" s="1152"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t="s">
        <v>268</v>
      </c>
      <c r="C9" s="1114"/>
      <c r="D9" s="1114"/>
      <c r="E9" s="1114"/>
      <c r="F9" s="1115"/>
      <c r="G9" s="1116" t="s">
        <v>13</v>
      </c>
      <c r="H9" s="1117"/>
      <c r="I9" s="1117"/>
      <c r="J9" s="1117"/>
      <c r="K9" s="1118"/>
      <c r="L9" s="1119" t="s">
        <v>11</v>
      </c>
      <c r="M9" s="1120"/>
      <c r="N9" s="1120"/>
      <c r="O9" s="1120"/>
      <c r="P9" s="1121"/>
      <c r="Q9" s="1108" t="s">
        <v>2200</v>
      </c>
      <c r="R9" s="1109"/>
      <c r="S9" s="1109"/>
      <c r="T9" s="1041"/>
      <c r="U9" s="1042"/>
      <c r="V9" s="1144">
        <f>IFERROR(VLOOKUP(Y5,【参考】数式用!$A$5:$AB$27,MATCH(V8,【参考】数式用!$B$4:$AB$4,0)+1,FALSE),"")</f>
        <v>0.106</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f>IFERROR(VLOOKUP(Y5,【参考】数式用!$A$5:$J$27,MATCH(B9,【参考】数式用!$B$4:$J$4,0)+1,0),"")</f>
        <v>4.1000000000000002E-2</v>
      </c>
      <c r="C10" s="1069"/>
      <c r="D10" s="1069"/>
      <c r="E10" s="1069"/>
      <c r="F10" s="1070"/>
      <c r="G10" s="1068">
        <f>IFERROR(VLOOKUP(Y5,【参考】数式用!$A$5:$J$27,MATCH(G9,【参考】数式用!$B$4:$J$4,0)+1,0),"")</f>
        <v>0</v>
      </c>
      <c r="H10" s="1069"/>
      <c r="I10" s="1069"/>
      <c r="J10" s="1069"/>
      <c r="K10" s="1070"/>
      <c r="L10" s="1068">
        <f>IFERROR(VLOOKUP(Y5,【参考】数式用!$A$5:$J$27,MATCH(L9,【参考】数式用!$B$4:$J$4,0)+1,0),"")</f>
        <v>0</v>
      </c>
      <c r="M10" s="1069"/>
      <c r="N10" s="1069"/>
      <c r="O10" s="1069"/>
      <c r="P10" s="1070"/>
      <c r="Q10" s="1036">
        <f>SUM(B10,G10,L10)</f>
        <v>4.1000000000000002E-2</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新加算Ⅴ(11)</v>
      </c>
      <c r="W11" s="1138"/>
      <c r="X11" s="1138"/>
      <c r="Y11" s="1138"/>
      <c r="Z11" s="1138"/>
      <c r="AA11" s="1152"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37"/>
      <c r="D12" s="1137"/>
      <c r="E12" s="1137"/>
      <c r="F12" s="1137"/>
      <c r="G12" s="1137"/>
      <c r="H12" s="1137"/>
      <c r="I12" s="1137"/>
      <c r="J12" s="1137"/>
      <c r="K12" s="1137"/>
      <c r="L12" s="1137"/>
      <c r="M12" s="1137"/>
      <c r="N12" s="1137"/>
      <c r="O12" s="1137"/>
      <c r="P12" s="1137"/>
      <c r="Q12" s="1137"/>
      <c r="R12" s="1137"/>
      <c r="S12" s="1137"/>
      <c r="T12" s="1043"/>
      <c r="U12" s="1042"/>
      <c r="V12" s="1148">
        <f>IFERROR(VLOOKUP(Y5,【参考】数式用!$A$5:$AB$27,MATCH(V11,【参考】数式用!$B$4:$AB$4,0)+1,FALSE),"")</f>
        <v>8.8999999999999996E-2</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新加算Ⅴ(14)</v>
      </c>
      <c r="W14" s="1138"/>
      <c r="X14" s="1138"/>
      <c r="Y14" s="1138"/>
      <c r="Z14" s="1138"/>
      <c r="AA14" s="1162"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f>IFERROR(VLOOKUP(Y5,【参考】数式用!$A$5:$AB$27,MATCH(V14,【参考】数式用!$B$4:$AB$4,0)+1,FALSE),"")</f>
        <v>5.6000000000000001E-2</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3.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3.75"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サービス提供体制強化加算ⅠまたはⅡを算定する。</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4.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処遇加算Ⅱ</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ベア加算</v>
      </c>
      <c r="BB48" s="1013"/>
      <c r="BC48" s="1013"/>
      <c r="BD48" s="1013"/>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処遇加算Ⅱ</v>
      </c>
      <c r="H49" s="1046"/>
      <c r="I49" s="1046"/>
      <c r="J49" s="1046"/>
      <c r="K49" s="1047"/>
      <c r="L49" s="1045" t="str">
        <f>IFERROR(IF(G9="","",IF(AND(OR(AH61=1,AH61=2),AH62=1,AH63=1),"特定加算Ⅰ",IF(AND(OR(AH61=1,AH61=2),AH62=2,AH63=1),"特定加算Ⅱ",IF(OR(AH61=3,AH62=2,AH63=2),"特定加算なし","")))),"")</f>
        <v>特定加算なし</v>
      </c>
      <c r="M49" s="1046"/>
      <c r="N49" s="1046"/>
      <c r="O49" s="1046"/>
      <c r="P49" s="1060"/>
      <c r="Q49" s="1061" t="str">
        <f>IFERROR(IF(OR(L9="ベア加算",AND(L9="ベア加算なし",AH57=1)),"ベア加算",IF(AH57=2,"ベア加算なし","")),"")</f>
        <v>ベア加算</v>
      </c>
      <c r="R49" s="1046"/>
      <c r="S49" s="1046"/>
      <c r="T49" s="1046"/>
      <c r="U49" s="1060"/>
      <c r="V49" s="1062" t="s">
        <v>12</v>
      </c>
      <c r="W49" s="1063"/>
      <c r="X49" s="1063"/>
      <c r="Y49" s="1063"/>
      <c r="Z49" s="1063"/>
      <c r="AA49" s="1043"/>
      <c r="AB49" s="1043"/>
      <c r="AC49" s="1028" t="str">
        <f>IFERROR(VLOOKUP(BE48,【参考】数式用2!E6:F23,2,FALSE),"")</f>
        <v>新加算Ⅳ</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f>IFERROR(VLOOKUP(Y5,【参考】数式用!$A$5:$J$27,MATCH(G49,【参考】数式用!$B$4:$J$4,0)+1,0),"")</f>
        <v>7.3999999999999996E-2</v>
      </c>
      <c r="H50" s="1032"/>
      <c r="I50" s="1032"/>
      <c r="J50" s="1032"/>
      <c r="K50" s="1033"/>
      <c r="L50" s="1031">
        <f>IFERROR(VLOOKUP(Y5,【参考】数式用!$A$5:$J$27,MATCH(L49,【参考】数式用!$B$4:$J$4,0)+1,0),"")</f>
        <v>0</v>
      </c>
      <c r="M50" s="1032"/>
      <c r="N50" s="1032"/>
      <c r="O50" s="1032"/>
      <c r="P50" s="1034"/>
      <c r="Q50" s="1035">
        <f>IFERROR(VLOOKUP(Y5,【参考】数式用!$A$5:$J$27,MATCH(Q49,【参考】数式用!$B$4:$J$4,0)+1,0),"")</f>
        <v>1.7000000000000001E-2</v>
      </c>
      <c r="R50" s="1032"/>
      <c r="S50" s="1032"/>
      <c r="T50" s="1032"/>
      <c r="U50" s="1034"/>
      <c r="V50" s="1036">
        <f>SUM(G50,L50,Q50)</f>
        <v>9.0999999999999998E-2</v>
      </c>
      <c r="W50" s="1037"/>
      <c r="X50" s="1037"/>
      <c r="Y50" s="1037"/>
      <c r="Z50" s="1037"/>
      <c r="AA50" s="1043"/>
      <c r="AB50" s="1043"/>
      <c r="AC50" s="1038">
        <f>IFERROR(VLOOKUP(Y5,【参考】数式用!$A$5:$AB$27,MATCH(AC49,【参考】数式用!$B$4:$AB$4,0)+1,FALSE),"")</f>
        <v>0.106</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f>IFERROR(ROUNDDOWN(ROUND(AM5*G50,0)*P5,0)*H53,"")</f>
        <v>566766</v>
      </c>
      <c r="H51" s="1048"/>
      <c r="I51" s="1048"/>
      <c r="J51" s="1048"/>
      <c r="K51" s="148" t="s">
        <v>2289</v>
      </c>
      <c r="L51" s="1051">
        <f>IFERROR(ROUNDDOWN(ROUND(AM5*L50,0)*P5,0)*H53,"")</f>
        <v>0</v>
      </c>
      <c r="M51" s="1048"/>
      <c r="N51" s="1048"/>
      <c r="O51" s="1048"/>
      <c r="P51" s="148" t="s">
        <v>2289</v>
      </c>
      <c r="Q51" s="1051">
        <f>IFERROR(ROUNDDOWN(ROUND(AM5*Q50,0)*P5,0)*H53,"")</f>
        <v>130202</v>
      </c>
      <c r="R51" s="1048"/>
      <c r="S51" s="1048"/>
      <c r="T51" s="1048"/>
      <c r="U51" s="149" t="s">
        <v>2289</v>
      </c>
      <c r="V51" s="1058">
        <f>IFERROR(SUM(G51,L51,Q51),"")</f>
        <v>696968</v>
      </c>
      <c r="W51" s="1059"/>
      <c r="X51" s="1059"/>
      <c r="Y51" s="1059"/>
      <c r="Z51" s="150" t="s">
        <v>2289</v>
      </c>
      <c r="AB51" s="151"/>
      <c r="AC51" s="1051">
        <f>IFERROR(ROUNDDOWN(ROUND(AM5*AC50,0)*P5,0)*AD53,"")</f>
        <v>4059270</v>
      </c>
      <c r="AD51" s="1048"/>
      <c r="AE51" s="1048"/>
      <c r="AF51" s="1048"/>
      <c r="AG51" s="1048"/>
      <c r="AH51" s="149" t="s">
        <v>2289</v>
      </c>
      <c r="AS51" s="1011">
        <f>IFERROR(ROUNDDOWN(ROUND(AM5*(G50-B10),0)*P5,0)*H53,"")</f>
        <v>252746</v>
      </c>
      <c r="AT51" s="1011"/>
      <c r="AU51" s="1011"/>
      <c r="AV51" s="1011"/>
      <c r="AW51" s="1011">
        <f>IFERROR(ROUNDDOWN(ROUND(AM5*(L50-G10),0)*P5,0)*H53,"")</f>
        <v>0</v>
      </c>
      <c r="AX51" s="1011"/>
      <c r="AY51" s="1011"/>
      <c r="AZ51" s="1011"/>
      <c r="BA51" s="1011">
        <f>IFERROR(ROUNDDOWN(ROUND(AM5*(Q50-L10),0)*P5,0)*H53,"")</f>
        <v>130202</v>
      </c>
      <c r="BB51" s="1011"/>
      <c r="BC51" s="1011"/>
      <c r="BD51" s="1011"/>
      <c r="BE51" s="1011">
        <f>IFERROR(ROUNDDOWN(ROUND(AM5*(AC50-Q10),0)*P5,0)*AD53,"")</f>
        <v>2489170</v>
      </c>
      <c r="BF51" s="1011"/>
      <c r="BG51" s="1011"/>
      <c r="BH51" s="1011"/>
      <c r="BI51" s="1011">
        <f>SUM(AS51:BH51)</f>
        <v>2872118</v>
      </c>
      <c r="BJ51" s="1011"/>
      <c r="BK51" s="1011"/>
      <c r="BL51" s="1011"/>
      <c r="BM51" s="241"/>
      <c r="BN51" s="1011">
        <f>IFERROR(ROUNDDOWN(ROUNDDOWN(ROUND(AM5*(VLOOKUP(Y5,【参考】数式用!$A$5:$AB$27,14,FALSE)),0)*P5,0)*AD53*0.5,0),"")</f>
        <v>2029635</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(283,383円/月)</v>
      </c>
      <c r="H52" s="1050"/>
      <c r="I52" s="1050"/>
      <c r="J52" s="1050"/>
      <c r="K52" s="1050"/>
      <c r="L52" s="1050" t="str">
        <f>IFERROR("("&amp;TEXT(L51/H53,"#,##0円")&amp;"/月)","")</f>
        <v>(0円/月)</v>
      </c>
      <c r="M52" s="1050"/>
      <c r="N52" s="1050"/>
      <c r="O52" s="1050"/>
      <c r="P52" s="1050"/>
      <c r="Q52" s="1050" t="str">
        <f>IFERROR("("&amp;TEXT(Q51/H53,"#,##0円")&amp;"/月)","")</f>
        <v>(65,101円/月)</v>
      </c>
      <c r="R52" s="1050"/>
      <c r="S52" s="1050"/>
      <c r="T52" s="1050"/>
      <c r="U52" s="1050"/>
      <c r="V52" s="1050" t="str">
        <f>IFERROR("("&amp;TEXT(V51/H53,"#,##0円")&amp;"/月)","")</f>
        <v>(348,484円/月)</v>
      </c>
      <c r="W52" s="1050"/>
      <c r="X52" s="1050"/>
      <c r="Y52" s="1050"/>
      <c r="Z52" s="1050"/>
      <c r="AB52" s="151"/>
      <c r="AC52" s="1052" t="str">
        <f>IFERROR("("&amp;TEXT(AC51/AD53,"#,##0円")&amp;"/月)","")</f>
        <v>(405,927円/月)</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f>IF(AND(B9&lt;&gt;"処遇加算なし",F15=4),IF(V21="✓",1,IF(V22="✓",2,"")),"")</f>
        <v>2</v>
      </c>
      <c r="AA57" s="245"/>
      <c r="AB57" s="249"/>
      <c r="AC57" s="1012" t="s">
        <v>2203</v>
      </c>
      <c r="AD57" s="1012"/>
      <c r="AE57" s="1012"/>
      <c r="AF57" s="1012"/>
      <c r="AG57" s="1012"/>
      <c r="AH57" s="170">
        <f>IF(AND(F15&lt;&gt;4,F15&lt;&gt;5),0,IF(AT8="○",1,0))</f>
        <v>1</v>
      </c>
      <c r="AI57" s="253"/>
      <c r="AJ57" s="249"/>
      <c r="AK57" s="1012" t="s">
        <v>2203</v>
      </c>
      <c r="AL57" s="1012"/>
      <c r="AM57" s="1012"/>
      <c r="AN57" s="1012"/>
      <c r="AO57" s="1012"/>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f>IF(AND(B9&lt;&gt;"処遇加算なし",F15=4),IF(V24="✓",1,IF(V25="✓",2,IF(V26="✓",3,""))),"")</f>
        <v>2</v>
      </c>
      <c r="AA58" s="245"/>
      <c r="AB58" s="249"/>
      <c r="AC58" s="1124" t="s">
        <v>2204</v>
      </c>
      <c r="AD58" s="1124"/>
      <c r="AE58" s="1124"/>
      <c r="AF58" s="1124"/>
      <c r="AG58" s="1124"/>
      <c r="AH58" s="170">
        <v>2</v>
      </c>
      <c r="AI58" s="253"/>
      <c r="AJ58" s="249"/>
      <c r="AK58" s="1124" t="s">
        <v>2204</v>
      </c>
      <c r="AL58" s="1124"/>
      <c r="AM58" s="1124"/>
      <c r="AN58" s="1124"/>
      <c r="AO58" s="1124"/>
      <c r="AP58" s="170">
        <v>2</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f>IF(AND(B9&lt;&gt;"処遇加算なし",F15=4),IF(V28="✓",1,IF(V29="✓",2,IF(V30="✓",3,""))),"")</f>
        <v>2</v>
      </c>
      <c r="AA59" s="245"/>
      <c r="AB59" s="249"/>
      <c r="AC59" s="1124" t="s">
        <v>2205</v>
      </c>
      <c r="AD59" s="1124"/>
      <c r="AE59" s="1124"/>
      <c r="AF59" s="1124"/>
      <c r="AG59" s="1124"/>
      <c r="AH59" s="170">
        <v>1</v>
      </c>
      <c r="AI59" s="253"/>
      <c r="AJ59" s="249"/>
      <c r="AK59" s="1124" t="s">
        <v>2205</v>
      </c>
      <c r="AL59" s="1124"/>
      <c r="AM59" s="1124"/>
      <c r="AN59" s="1124"/>
      <c r="AO59" s="1124"/>
      <c r="AP59" s="170">
        <f>IF(AV8="○",1,3)</f>
        <v>1</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f>IF(AND(B9&lt;&gt;"処遇加算なし",F15=4),IF(V32="✓",1,IF(V33="✓",2,"")),"")</f>
        <v>2</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f>IF(AND(B9&lt;&gt;"処遇加算なし",F15=4),IF(V36="✓",1,IF(V37="✓",2,"")),"")</f>
        <v>2</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f>IF(AND(B9&lt;&gt;"処遇加算なし",F15=4),IF(V40="✓",1,IF(V41="✓",2,"")),"")</f>
        <v>2</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f>IF(AND(B9&lt;&gt;"処遇加算なし",F15=4),IF(V44="✓",1,IF(V45="✓",2,"")),"")</f>
        <v>2</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9AvFL6jFYV+Bt3P4Ed7Ul/eHdJx5EEEiCHw2qWqZS9Th13rseNVt17Z/Jgl/GOBXwrHZA5qzJ8lftOxpcTvqA==" saltValue="abaIJiBflxdBXyara7+u+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46</xdr:row>
                    <xdr:rowOff>47625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152400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2425</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2.2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46</xdr:row>
                    <xdr:rowOff>76200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180975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2426</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4.5"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6"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4"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4"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46</xdr:row>
                    <xdr:rowOff>28575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133350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2427</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6"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4.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46</xdr:row>
                    <xdr:rowOff>47625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152400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47" t="s">
        <v>2428</v>
      </c>
      <c r="O1" s="1147"/>
      <c r="P1" s="1147"/>
      <c r="Q1" s="1147"/>
      <c r="R1" s="1147"/>
      <c r="S1" s="1147"/>
      <c r="T1" s="1147"/>
      <c r="U1" s="1147"/>
      <c r="V1" s="1147"/>
      <c r="W1" s="1147"/>
      <c r="X1" s="1147"/>
      <c r="Y1" s="1147"/>
      <c r="Z1" s="1147"/>
      <c r="AA1" s="1147"/>
      <c r="AB1" s="1147"/>
      <c r="AC1" s="1147"/>
      <c r="AD1" s="1147"/>
      <c r="AE1" s="1147"/>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25" t="s">
        <v>2293</v>
      </c>
      <c r="C4" s="1125"/>
      <c r="D4" s="1125"/>
      <c r="E4" s="1125"/>
      <c r="F4" s="1125"/>
      <c r="G4" s="1125" t="s">
        <v>0</v>
      </c>
      <c r="H4" s="1125"/>
      <c r="I4" s="1125"/>
      <c r="J4" s="1122" t="s">
        <v>1</v>
      </c>
      <c r="K4" s="1122"/>
      <c r="L4" s="1122"/>
      <c r="M4" s="1122"/>
      <c r="N4" s="1122"/>
      <c r="O4" s="1122"/>
      <c r="P4" s="1126" t="s">
        <v>2162</v>
      </c>
      <c r="Q4" s="1127"/>
      <c r="R4" s="1127"/>
      <c r="S4" s="1128" t="s">
        <v>2</v>
      </c>
      <c r="T4" s="1129"/>
      <c r="U4" s="1129"/>
      <c r="V4" s="1129"/>
      <c r="W4" s="1129"/>
      <c r="X4" s="1129"/>
      <c r="Y4" s="1122" t="s">
        <v>3</v>
      </c>
      <c r="Z4" s="1122"/>
      <c r="AA4" s="1122"/>
      <c r="AB4" s="1122"/>
      <c r="AC4" s="1122"/>
      <c r="AD4" s="1122"/>
      <c r="AE4" s="1122" t="s">
        <v>2159</v>
      </c>
      <c r="AF4" s="1122"/>
      <c r="AG4" s="1122"/>
      <c r="AH4" s="1122"/>
      <c r="AI4" s="1122" t="s">
        <v>2160</v>
      </c>
      <c r="AJ4" s="1122"/>
      <c r="AK4" s="1122"/>
      <c r="AL4" s="1122"/>
      <c r="AM4" s="1122" t="s">
        <v>2158</v>
      </c>
      <c r="AN4" s="1122"/>
      <c r="AO4" s="1122"/>
      <c r="AP4" s="1122"/>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110" t="s">
        <v>2328</v>
      </c>
      <c r="C8" s="1111"/>
      <c r="D8" s="1111"/>
      <c r="E8" s="1111"/>
      <c r="F8" s="1111"/>
      <c r="G8" s="1111"/>
      <c r="H8" s="1111"/>
      <c r="I8" s="1111"/>
      <c r="J8" s="1111"/>
      <c r="K8" s="1111"/>
      <c r="L8" s="1111"/>
      <c r="M8" s="1111"/>
      <c r="N8" s="1111"/>
      <c r="O8" s="1111"/>
      <c r="P8" s="1111"/>
      <c r="Q8" s="1111"/>
      <c r="R8" s="1111"/>
      <c r="S8" s="1112"/>
      <c r="T8" s="1041" t="s">
        <v>14</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2200</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2388</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2288</v>
      </c>
      <c r="C13" s="1084"/>
      <c r="D13" s="1084"/>
      <c r="E13" s="1084"/>
      <c r="F13" s="1084"/>
      <c r="G13" s="1084"/>
      <c r="H13" s="1084"/>
      <c r="I13" s="1084"/>
      <c r="J13" s="1084"/>
      <c r="K13" s="1084"/>
      <c r="L13" s="1084"/>
      <c r="M13" s="1084"/>
      <c r="N13" s="1084"/>
      <c r="O13" s="1084"/>
      <c r="P13" s="1084"/>
      <c r="Q13" s="1084"/>
      <c r="R13" s="1084"/>
      <c r="S13" s="1085"/>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2282</v>
      </c>
      <c r="C15" s="1075"/>
      <c r="D15" s="147">
        <v>6</v>
      </c>
      <c r="E15" s="530" t="s">
        <v>2283</v>
      </c>
      <c r="F15" s="147">
        <v>4</v>
      </c>
      <c r="G15" s="530" t="s">
        <v>2284</v>
      </c>
      <c r="H15" s="1076" t="s">
        <v>2285</v>
      </c>
      <c r="I15" s="1076"/>
      <c r="J15" s="1089"/>
      <c r="K15" s="147">
        <v>7</v>
      </c>
      <c r="L15" s="530" t="s">
        <v>2283</v>
      </c>
      <c r="M15" s="147">
        <v>3</v>
      </c>
      <c r="N15" s="530" t="s">
        <v>2284</v>
      </c>
      <c r="O15" s="530" t="s">
        <v>2286</v>
      </c>
      <c r="P15" s="204">
        <f>(K15*12+M15)-(D15*12+F15)+1</f>
        <v>12</v>
      </c>
      <c r="Q15" s="1076" t="s">
        <v>2287</v>
      </c>
      <c r="R15" s="1076"/>
      <c r="S15" s="205" t="s">
        <v>74</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4.5" customHeight="1">
      <c r="B18" s="1049" t="s">
        <v>2211</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2295</v>
      </c>
      <c r="C21" s="1092"/>
      <c r="D21" s="1092"/>
      <c r="E21" s="1092"/>
      <c r="F21" s="1093"/>
      <c r="G21" s="1131" t="s">
        <v>245</v>
      </c>
      <c r="H21" s="1132"/>
      <c r="I21" s="1132"/>
      <c r="J21" s="1132"/>
      <c r="K21" s="1132"/>
      <c r="L21" s="1132"/>
      <c r="M21" s="1132"/>
      <c r="N21" s="1132"/>
      <c r="O21" s="1132"/>
      <c r="P21" s="1132"/>
      <c r="Q21" s="1132"/>
      <c r="R21" s="1132"/>
      <c r="S21" s="1132"/>
      <c r="T21" s="1133"/>
      <c r="U21" s="218"/>
      <c r="V21" s="526" t="str">
        <f>IFERROR(IF(L9="ベア加算","✓",""),"")</f>
        <v/>
      </c>
      <c r="W21" s="1007" t="s">
        <v>16</v>
      </c>
      <c r="X21" s="1007"/>
      <c r="Y21" s="1007"/>
      <c r="Z21" s="1007"/>
      <c r="AA21" s="1041" t="s">
        <v>14</v>
      </c>
      <c r="AB21" s="1042"/>
      <c r="AC21" s="220"/>
      <c r="AD21" s="1130" t="s">
        <v>16</v>
      </c>
      <c r="AE21" s="1130"/>
      <c r="AF21" s="1130"/>
      <c r="AG21" s="1130"/>
      <c r="AH21" s="1130"/>
      <c r="AI21" s="1041" t="s">
        <v>14</v>
      </c>
      <c r="AJ21" s="1042"/>
      <c r="AK21" s="221"/>
      <c r="AL21" s="1130" t="s">
        <v>16</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17</v>
      </c>
      <c r="X22" s="1007"/>
      <c r="Y22" s="1026"/>
      <c r="Z22" s="1027"/>
      <c r="AA22" s="1041"/>
      <c r="AB22" s="1042"/>
      <c r="AC22" s="220"/>
      <c r="AD22" s="1007" t="s">
        <v>17</v>
      </c>
      <c r="AE22" s="1007"/>
      <c r="AF22" s="1007"/>
      <c r="AG22" s="1007"/>
      <c r="AH22" s="1007"/>
      <c r="AI22" s="1041"/>
      <c r="AJ22" s="1042"/>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2219</v>
      </c>
      <c r="C24" s="1092"/>
      <c r="D24" s="1092"/>
      <c r="E24" s="1092"/>
      <c r="F24" s="1093"/>
      <c r="G24" s="1131" t="s">
        <v>246</v>
      </c>
      <c r="H24" s="1132"/>
      <c r="I24" s="1132"/>
      <c r="J24" s="1132"/>
      <c r="K24" s="1132"/>
      <c r="L24" s="1132"/>
      <c r="M24" s="1132"/>
      <c r="N24" s="1132"/>
      <c r="O24" s="1132"/>
      <c r="P24" s="1132"/>
      <c r="Q24" s="1132"/>
      <c r="R24" s="1132"/>
      <c r="S24" s="1132"/>
      <c r="T24" s="1133"/>
      <c r="U24" s="218"/>
      <c r="V24" s="526" t="str">
        <f>IFERROR(IF(OR(B9="処遇加算Ⅰ",B9="処遇加算Ⅱ"),"✓",""),"")</f>
        <v/>
      </c>
      <c r="W24" s="1064" t="s">
        <v>2254</v>
      </c>
      <c r="X24" s="1065"/>
      <c r="Y24" s="1065"/>
      <c r="Z24" s="1066"/>
      <c r="AA24" s="1041" t="s">
        <v>14</v>
      </c>
      <c r="AB24" s="1042"/>
      <c r="AC24" s="220"/>
      <c r="AD24" s="1090" t="s">
        <v>16</v>
      </c>
      <c r="AE24" s="1090"/>
      <c r="AF24" s="1090"/>
      <c r="AG24" s="1090"/>
      <c r="AH24" s="1090"/>
      <c r="AI24" s="1041" t="s">
        <v>14</v>
      </c>
      <c r="AJ24" s="1042"/>
      <c r="AK24" s="220"/>
      <c r="AL24" s="1090" t="s">
        <v>16</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21</v>
      </c>
      <c r="X25" s="1065"/>
      <c r="Y25" s="1065"/>
      <c r="Z25" s="1066"/>
      <c r="AA25" s="1041"/>
      <c r="AB25" s="1042"/>
      <c r="AC25" s="220"/>
      <c r="AD25" s="1008" t="s">
        <v>19</v>
      </c>
      <c r="AE25" s="1008"/>
      <c r="AF25" s="1008"/>
      <c r="AG25" s="1008"/>
      <c r="AH25" s="1008"/>
      <c r="AI25" s="1041"/>
      <c r="AJ25" s="1042"/>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2255</v>
      </c>
      <c r="X26" s="1065"/>
      <c r="Y26" s="1065"/>
      <c r="Z26" s="1066"/>
      <c r="AA26" s="1041"/>
      <c r="AB26" s="1042"/>
      <c r="AC26" s="220"/>
      <c r="AD26" s="1090" t="s">
        <v>17</v>
      </c>
      <c r="AE26" s="1090"/>
      <c r="AF26" s="1090"/>
      <c r="AG26" s="1090"/>
      <c r="AH26" s="1090"/>
      <c r="AI26" s="1041"/>
      <c r="AJ26" s="1042"/>
      <c r="AK26" s="221"/>
      <c r="AL26" s="1090" t="s">
        <v>17</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2220</v>
      </c>
      <c r="C28" s="1092"/>
      <c r="D28" s="1092"/>
      <c r="E28" s="1092"/>
      <c r="F28" s="1093"/>
      <c r="G28" s="1132" t="s">
        <v>2217</v>
      </c>
      <c r="H28" s="1132"/>
      <c r="I28" s="1132"/>
      <c r="J28" s="1132"/>
      <c r="K28" s="1132"/>
      <c r="L28" s="1132"/>
      <c r="M28" s="1132"/>
      <c r="N28" s="1132"/>
      <c r="O28" s="1132"/>
      <c r="P28" s="1132"/>
      <c r="Q28" s="1132"/>
      <c r="R28" s="1132"/>
      <c r="S28" s="1132"/>
      <c r="T28" s="1133"/>
      <c r="U28" s="218"/>
      <c r="V28" s="526" t="str">
        <f>IFERROR(IF(OR(B9="処遇加算Ⅰ",B9="処遇加算Ⅱ"),"✓",""),"")</f>
        <v/>
      </c>
      <c r="W28" s="1064" t="s">
        <v>2254</v>
      </c>
      <c r="X28" s="1065"/>
      <c r="Y28" s="1065"/>
      <c r="Z28" s="1066"/>
      <c r="AA28" s="1041" t="s">
        <v>14</v>
      </c>
      <c r="AB28" s="1042"/>
      <c r="AC28" s="220"/>
      <c r="AD28" s="1090" t="s">
        <v>16</v>
      </c>
      <c r="AE28" s="1090"/>
      <c r="AF28" s="1090"/>
      <c r="AG28" s="1090"/>
      <c r="AH28" s="1090"/>
      <c r="AI28" s="1041" t="s">
        <v>14</v>
      </c>
      <c r="AJ28" s="1042"/>
      <c r="AK28" s="220"/>
      <c r="AL28" s="1090" t="s">
        <v>16</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21</v>
      </c>
      <c r="X29" s="1065"/>
      <c r="Y29" s="1065"/>
      <c r="Z29" s="1066"/>
      <c r="AA29" s="1041"/>
      <c r="AB29" s="1042"/>
      <c r="AC29" s="220"/>
      <c r="AD29" s="1008" t="s">
        <v>19</v>
      </c>
      <c r="AE29" s="1008"/>
      <c r="AF29" s="1008"/>
      <c r="AG29" s="1008"/>
      <c r="AH29" s="1008"/>
      <c r="AI29" s="1041"/>
      <c r="AJ29" s="1042"/>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2255</v>
      </c>
      <c r="X30" s="1065"/>
      <c r="Y30" s="1065"/>
      <c r="Z30" s="1066"/>
      <c r="AA30" s="1041"/>
      <c r="AB30" s="1042"/>
      <c r="AC30" s="220"/>
      <c r="AD30" s="1090" t="s">
        <v>17</v>
      </c>
      <c r="AE30" s="1090"/>
      <c r="AF30" s="1090"/>
      <c r="AG30" s="1090"/>
      <c r="AH30" s="1090"/>
      <c r="AI30" s="1041"/>
      <c r="AJ30" s="1042"/>
      <c r="AK30" s="221"/>
      <c r="AL30" s="1090" t="s">
        <v>17</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2221</v>
      </c>
      <c r="C32" s="1018"/>
      <c r="D32" s="1018"/>
      <c r="E32" s="1018"/>
      <c r="F32" s="1018"/>
      <c r="G32" s="1017" t="s">
        <v>2218</v>
      </c>
      <c r="H32" s="1017"/>
      <c r="I32" s="1017"/>
      <c r="J32" s="1017"/>
      <c r="K32" s="1017"/>
      <c r="L32" s="1017"/>
      <c r="M32" s="1017"/>
      <c r="N32" s="1017"/>
      <c r="O32" s="1017"/>
      <c r="P32" s="1017"/>
      <c r="Q32" s="1017"/>
      <c r="R32" s="1017"/>
      <c r="S32" s="1017"/>
      <c r="T32" s="1017"/>
      <c r="U32" s="218"/>
      <c r="V32" s="526" t="str">
        <f>IFERROR(IF(B9="処遇加算Ⅰ","✓",""),"")</f>
        <v/>
      </c>
      <c r="W32" s="1025" t="s">
        <v>16</v>
      </c>
      <c r="X32" s="1026"/>
      <c r="Y32" s="1026"/>
      <c r="Z32" s="1027"/>
      <c r="AA32" s="1043" t="s">
        <v>14</v>
      </c>
      <c r="AB32" s="1042"/>
      <c r="AC32" s="220"/>
      <c r="AD32" s="1090" t="s">
        <v>16</v>
      </c>
      <c r="AE32" s="1090"/>
      <c r="AF32" s="1090"/>
      <c r="AG32" s="1090"/>
      <c r="AH32" s="1090"/>
      <c r="AI32" s="1043" t="s">
        <v>14</v>
      </c>
      <c r="AJ32" s="1042"/>
      <c r="AK32" s="220"/>
      <c r="AL32" s="1090" t="s">
        <v>16</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17</v>
      </c>
      <c r="X33" s="1026"/>
      <c r="Y33" s="1026"/>
      <c r="Z33" s="1027"/>
      <c r="AA33" s="1043"/>
      <c r="AB33" s="1042"/>
      <c r="AC33" s="220"/>
      <c r="AD33" s="1168" t="s">
        <v>19</v>
      </c>
      <c r="AE33" s="1168"/>
      <c r="AF33" s="1168"/>
      <c r="AG33" s="1168"/>
      <c r="AH33" s="1168"/>
      <c r="AI33" s="1043"/>
      <c r="AJ33" s="1042"/>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17</v>
      </c>
      <c r="AE34" s="1007"/>
      <c r="AF34" s="1007"/>
      <c r="AG34" s="1007"/>
      <c r="AH34" s="1007"/>
      <c r="AI34" s="1043"/>
      <c r="AJ34" s="1042"/>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2222</v>
      </c>
      <c r="C36" s="1018"/>
      <c r="D36" s="1018"/>
      <c r="E36" s="1018"/>
      <c r="F36" s="1018"/>
      <c r="G36" s="1167" t="s">
        <v>2263</v>
      </c>
      <c r="H36" s="1167"/>
      <c r="I36" s="1167"/>
      <c r="J36" s="1167"/>
      <c r="K36" s="1167"/>
      <c r="L36" s="1167"/>
      <c r="M36" s="1167"/>
      <c r="N36" s="1167"/>
      <c r="O36" s="1167"/>
      <c r="P36" s="1167"/>
      <c r="Q36" s="1167"/>
      <c r="R36" s="1167"/>
      <c r="S36" s="1167"/>
      <c r="T36" s="1167"/>
      <c r="U36" s="218"/>
      <c r="V36" s="526" t="str">
        <f>IFERROR(IF(OR(G9="特定加算Ⅰ",G9="特定加算Ⅱ"),"✓",""),"")</f>
        <v/>
      </c>
      <c r="W36" s="1025" t="s">
        <v>16</v>
      </c>
      <c r="X36" s="1026"/>
      <c r="Y36" s="1026"/>
      <c r="Z36" s="1027"/>
      <c r="AA36" s="1041" t="s">
        <v>14</v>
      </c>
      <c r="AB36" s="1042"/>
      <c r="AC36" s="220"/>
      <c r="AD36" s="1007" t="s">
        <v>16</v>
      </c>
      <c r="AE36" s="1007"/>
      <c r="AF36" s="1007"/>
      <c r="AG36" s="1007"/>
      <c r="AH36" s="1007"/>
      <c r="AI36" s="1041" t="s">
        <v>14</v>
      </c>
      <c r="AJ36" s="1042"/>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17</v>
      </c>
      <c r="X37" s="1026"/>
      <c r="Y37" s="1026"/>
      <c r="Z37" s="1027"/>
      <c r="AA37" s="1041"/>
      <c r="AB37" s="1042"/>
      <c r="AC37" s="1178" t="s">
        <v>2369</v>
      </c>
      <c r="AD37" s="1179"/>
      <c r="AE37" s="1179"/>
      <c r="AF37" s="1179"/>
      <c r="AG37" s="1180"/>
      <c r="AH37" s="1181"/>
      <c r="AI37" s="1041"/>
      <c r="AJ37" s="1042"/>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17</v>
      </c>
      <c r="AE38" s="1007"/>
      <c r="AF38" s="1007"/>
      <c r="AG38" s="1007"/>
      <c r="AH38" s="1007"/>
      <c r="AI38" s="1041"/>
      <c r="AJ38" s="1042"/>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2223</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16</v>
      </c>
      <c r="X40" s="1026"/>
      <c r="Y40" s="1026"/>
      <c r="Z40" s="1027"/>
      <c r="AA40" s="1041" t="s">
        <v>14</v>
      </c>
      <c r="AB40" s="1042"/>
      <c r="AC40" s="220"/>
      <c r="AD40" s="1007" t="s">
        <v>16</v>
      </c>
      <c r="AE40" s="1007"/>
      <c r="AF40" s="1007"/>
      <c r="AG40" s="1007"/>
      <c r="AH40" s="1007"/>
      <c r="AI40" s="1041" t="s">
        <v>14</v>
      </c>
      <c r="AJ40" s="1042"/>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17</v>
      </c>
      <c r="X41" s="1026"/>
      <c r="Y41" s="1026"/>
      <c r="Z41" s="1027"/>
      <c r="AA41" s="1041"/>
      <c r="AB41" s="1042"/>
      <c r="AC41" s="234" t="s">
        <v>90</v>
      </c>
      <c r="AD41" s="1055"/>
      <c r="AE41" s="1056"/>
      <c r="AF41" s="1056"/>
      <c r="AG41" s="1056"/>
      <c r="AH41" s="1057"/>
      <c r="AI41" s="1041"/>
      <c r="AJ41" s="1042"/>
      <c r="AK41" s="234" t="s">
        <v>90</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2224</v>
      </c>
      <c r="C44" s="1018"/>
      <c r="D44" s="1018"/>
      <c r="E44" s="1018"/>
      <c r="F44" s="1018"/>
      <c r="G44" s="1017" t="s">
        <v>2161</v>
      </c>
      <c r="H44" s="1017"/>
      <c r="I44" s="1017"/>
      <c r="J44" s="1017"/>
      <c r="K44" s="1017"/>
      <c r="L44" s="1017"/>
      <c r="M44" s="1017"/>
      <c r="N44" s="1017"/>
      <c r="O44" s="1017"/>
      <c r="P44" s="1017"/>
      <c r="Q44" s="1017"/>
      <c r="R44" s="1017"/>
      <c r="S44" s="1017"/>
      <c r="T44" s="1017"/>
      <c r="U44" s="218"/>
      <c r="V44" s="526" t="str">
        <f>IFERROR(IF(OR(G9="特定加算Ⅰ",G9="特定加算Ⅱ"),"✓",""),"")</f>
        <v/>
      </c>
      <c r="W44" s="1025" t="s">
        <v>16</v>
      </c>
      <c r="X44" s="1026"/>
      <c r="Y44" s="1026"/>
      <c r="Z44" s="1027"/>
      <c r="AA44" s="1041" t="s">
        <v>14</v>
      </c>
      <c r="AB44" s="1042"/>
      <c r="AC44" s="220"/>
      <c r="AD44" s="1007" t="s">
        <v>16</v>
      </c>
      <c r="AE44" s="1007"/>
      <c r="AF44" s="1007"/>
      <c r="AG44" s="1007"/>
      <c r="AH44" s="1007"/>
      <c r="AI44" s="1041" t="s">
        <v>14</v>
      </c>
      <c r="AJ44" s="1042"/>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17</v>
      </c>
      <c r="X45" s="1026"/>
      <c r="Y45" s="1026"/>
      <c r="Z45" s="1027"/>
      <c r="AA45" s="1041"/>
      <c r="AB45" s="1042"/>
      <c r="AC45" s="220"/>
      <c r="AD45" s="1007" t="s">
        <v>17</v>
      </c>
      <c r="AE45" s="1007"/>
      <c r="AF45" s="1007"/>
      <c r="AG45" s="1007"/>
      <c r="AH45" s="1007"/>
      <c r="AI45" s="1041"/>
      <c r="AJ45" s="1042"/>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4.5" customHeight="1">
      <c r="B46" s="224"/>
      <c r="AJ46" s="239"/>
      <c r="AK46" s="239"/>
      <c r="AL46" s="239"/>
      <c r="AM46" s="239"/>
      <c r="AN46" s="239"/>
      <c r="AO46" s="239"/>
      <c r="AP46" s="239"/>
    </row>
    <row r="47" spans="2:82" ht="21" customHeight="1">
      <c r="B47" s="1049" t="s">
        <v>2317</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14</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2163</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12</v>
      </c>
      <c r="W49" s="1063"/>
      <c r="X49" s="1063"/>
      <c r="Y49" s="1063"/>
      <c r="Z49" s="1063"/>
      <c r="AA49" s="1043"/>
      <c r="AB49" s="1043"/>
      <c r="AC49" s="1028" t="str">
        <f>IFERROR(VLOOKUP(BE48,【参考】数式用2!E6:F23,2,FALSE),"")</f>
        <v/>
      </c>
      <c r="AD49" s="1029"/>
      <c r="AE49" s="1029"/>
      <c r="AF49" s="1029"/>
      <c r="AG49" s="1029"/>
      <c r="AH49" s="1030"/>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19" t="s">
        <v>2164</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2195</v>
      </c>
      <c r="AT50" s="1012"/>
      <c r="AU50" s="1012"/>
      <c r="AV50" s="1012"/>
      <c r="AW50" s="1012" t="s">
        <v>2196</v>
      </c>
      <c r="AX50" s="1012"/>
      <c r="AY50" s="1012"/>
      <c r="AZ50" s="1012"/>
      <c r="BA50" s="1012" t="s">
        <v>15</v>
      </c>
      <c r="BB50" s="1012"/>
      <c r="BC50" s="1012"/>
      <c r="BD50" s="1012"/>
      <c r="BE50" s="1012" t="s">
        <v>2197</v>
      </c>
      <c r="BF50" s="1012"/>
      <c r="BG50" s="1012"/>
      <c r="BH50" s="1012"/>
      <c r="BI50" s="1012" t="s">
        <v>2200</v>
      </c>
      <c r="BJ50" s="1012"/>
      <c r="BK50" s="1012"/>
      <c r="BL50" s="1012"/>
      <c r="BM50" s="241"/>
      <c r="BN50" s="1012" t="s">
        <v>2199</v>
      </c>
      <c r="BO50" s="1012"/>
      <c r="BP50" s="1012"/>
      <c r="BQ50" s="1012"/>
      <c r="BR50" s="1012"/>
      <c r="BS50" s="1012"/>
      <c r="BT50" s="241"/>
      <c r="BV50" s="979" t="s">
        <v>2202</v>
      </c>
      <c r="BW50" s="980"/>
      <c r="BX50" s="980"/>
      <c r="BY50" s="980"/>
      <c r="BZ50" s="980"/>
      <c r="CA50" s="981"/>
      <c r="CD50" s="242"/>
    </row>
    <row r="51" spans="2:82" ht="17.25" customHeight="1">
      <c r="B51" s="1022" t="s">
        <v>2294</v>
      </c>
      <c r="C51" s="1023"/>
      <c r="D51" s="1023"/>
      <c r="E51" s="1023"/>
      <c r="F51" s="1024"/>
      <c r="G51" s="1048" t="str">
        <f>IFERROR(ROUNDDOWN(ROUND(AM5*G50,0)*P5,0)*H53,"")</f>
        <v/>
      </c>
      <c r="H51" s="1048"/>
      <c r="I51" s="1048"/>
      <c r="J51" s="1048"/>
      <c r="K51" s="148" t="s">
        <v>2289</v>
      </c>
      <c r="L51" s="1051" t="str">
        <f>IFERROR(ROUNDDOWN(ROUND(AM5*L50,0)*P5,0)*H53,"")</f>
        <v/>
      </c>
      <c r="M51" s="1048"/>
      <c r="N51" s="1048"/>
      <c r="O51" s="1048"/>
      <c r="P51" s="148" t="s">
        <v>2289</v>
      </c>
      <c r="Q51" s="1051" t="str">
        <f>IFERROR(ROUNDDOWN(ROUND(AM5*Q50,0)*P5,0)*H53,"")</f>
        <v/>
      </c>
      <c r="R51" s="1048"/>
      <c r="S51" s="1048"/>
      <c r="T51" s="1048"/>
      <c r="U51" s="149" t="s">
        <v>2289</v>
      </c>
      <c r="V51" s="1058">
        <f>IFERROR(SUM(G51,L51,Q51),"")</f>
        <v>0</v>
      </c>
      <c r="W51" s="1059"/>
      <c r="X51" s="1059"/>
      <c r="Y51" s="1059"/>
      <c r="Z51" s="150" t="s">
        <v>2289</v>
      </c>
      <c r="AB51" s="151"/>
      <c r="AC51" s="1051" t="str">
        <f>IFERROR(ROUNDDOWN(ROUND(AM5*AC50,0)*P5,0)*AD53,"")</f>
        <v/>
      </c>
      <c r="AD51" s="1048"/>
      <c r="AE51" s="1048"/>
      <c r="AF51" s="1048"/>
      <c r="AG51" s="1048"/>
      <c r="AH51" s="149" t="s">
        <v>2289</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2420</v>
      </c>
      <c r="AT56" s="1169"/>
      <c r="AU56" s="1169"/>
      <c r="AV56" s="1169"/>
      <c r="AW56" s="1169" t="s">
        <v>2419</v>
      </c>
      <c r="AX56" s="1169"/>
      <c r="AY56" s="1169"/>
      <c r="AZ56" s="1169"/>
    </row>
    <row r="57" spans="2:82" ht="15.95" customHeight="1">
      <c r="U57" s="1012" t="s">
        <v>2203</v>
      </c>
      <c r="V57" s="1012"/>
      <c r="W57" s="1012"/>
      <c r="X57" s="1012"/>
      <c r="Y57" s="1012"/>
      <c r="Z57" s="527" t="str">
        <f>IF(AND(B9&lt;&gt;"処遇加算なし",F15=4),IF(V21="✓",1,IF(V22="✓",2,"")),"")</f>
        <v/>
      </c>
      <c r="AA57" s="245"/>
      <c r="AB57" s="249"/>
      <c r="AC57" s="1012" t="s">
        <v>2203</v>
      </c>
      <c r="AD57" s="1012"/>
      <c r="AE57" s="1012"/>
      <c r="AF57" s="1012"/>
      <c r="AG57" s="1012"/>
      <c r="AH57" s="170">
        <f>IF(AND(F15&lt;&gt;4,F15&lt;&gt;5),0,IF(AT8="○",1,0))</f>
        <v>0</v>
      </c>
      <c r="AI57" s="253"/>
      <c r="AJ57" s="249"/>
      <c r="AK57" s="1012" t="s">
        <v>2203</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2204</v>
      </c>
      <c r="V58" s="1124"/>
      <c r="W58" s="1124"/>
      <c r="X58" s="1124"/>
      <c r="Y58" s="1124"/>
      <c r="Z58" s="527" t="str">
        <f>IF(AND(B9&lt;&gt;"処遇加算なし",F15=4),IF(V24="✓",1,IF(V25="✓",2,IF(V26="✓",3,""))),"")</f>
        <v/>
      </c>
      <c r="AA58" s="245"/>
      <c r="AB58" s="249"/>
      <c r="AC58" s="1124" t="s">
        <v>2204</v>
      </c>
      <c r="AD58" s="1124"/>
      <c r="AE58" s="1124"/>
      <c r="AF58" s="1124"/>
      <c r="AG58" s="1124"/>
      <c r="AH58" s="170">
        <f>IF(AND(F15&lt;&gt;4,F15&lt;&gt;5),0,IF(AU8="○",1,3))</f>
        <v>3</v>
      </c>
      <c r="AI58" s="253"/>
      <c r="AJ58" s="249"/>
      <c r="AK58" s="1124" t="s">
        <v>2204</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2205</v>
      </c>
      <c r="V59" s="1124"/>
      <c r="W59" s="1124"/>
      <c r="X59" s="1124"/>
      <c r="Y59" s="1124"/>
      <c r="Z59" s="527" t="str">
        <f>IF(AND(B9&lt;&gt;"処遇加算なし",F15=4),IF(V28="✓",1,IF(V29="✓",2,IF(V30="✓",3,""))),"")</f>
        <v/>
      </c>
      <c r="AA59" s="245"/>
      <c r="AB59" s="249"/>
      <c r="AC59" s="1124" t="s">
        <v>2205</v>
      </c>
      <c r="AD59" s="1124"/>
      <c r="AE59" s="1124"/>
      <c r="AF59" s="1124"/>
      <c r="AG59" s="1124"/>
      <c r="AH59" s="170">
        <f>IF(AND(F15&lt;&gt;4,F15&lt;&gt;5),0,IF(AV8="○",1,3))</f>
        <v>3</v>
      </c>
      <c r="AI59" s="253"/>
      <c r="AJ59" s="249"/>
      <c r="AK59" s="1124" t="s">
        <v>2205</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2206</v>
      </c>
      <c r="V60" s="1124"/>
      <c r="W60" s="1124"/>
      <c r="X60" s="1124"/>
      <c r="Y60" s="1124"/>
      <c r="Z60" s="527" t="str">
        <f>IF(AND(B9&lt;&gt;"処遇加算なし",F15=4),IF(V32="✓",1,IF(V33="✓",2,"")),"")</f>
        <v/>
      </c>
      <c r="AA60" s="245"/>
      <c r="AB60" s="249"/>
      <c r="AC60" s="1124" t="s">
        <v>2206</v>
      </c>
      <c r="AD60" s="1124"/>
      <c r="AE60" s="1124"/>
      <c r="AF60" s="1124"/>
      <c r="AG60" s="1124"/>
      <c r="AH60" s="170">
        <f>IF(AND(F15&lt;&gt;4,F15&lt;&gt;5),0,IF(AW8="○",1,3))</f>
        <v>3</v>
      </c>
      <c r="AI60" s="253"/>
      <c r="AJ60" s="249"/>
      <c r="AK60" s="1124" t="s">
        <v>2206</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2207</v>
      </c>
      <c r="V61" s="1124"/>
      <c r="W61" s="1124"/>
      <c r="X61" s="1124"/>
      <c r="Y61" s="1124"/>
      <c r="Z61" s="527" t="str">
        <f>IF(AND(B9&lt;&gt;"処遇加算なし",F15=4),IF(V36="✓",1,IF(V37="✓",2,"")),"")</f>
        <v/>
      </c>
      <c r="AA61" s="245"/>
      <c r="AB61" s="249"/>
      <c r="AC61" s="1124" t="s">
        <v>2207</v>
      </c>
      <c r="AD61" s="1124"/>
      <c r="AE61" s="1124"/>
      <c r="AF61" s="1124"/>
      <c r="AG61" s="1124"/>
      <c r="AH61" s="170">
        <f>IF(AND(F15&lt;&gt;4,F15&lt;&gt;5),0,IF(AX8="○",1,2))</f>
        <v>2</v>
      </c>
      <c r="AI61" s="253"/>
      <c r="AJ61" s="249"/>
      <c r="AK61" s="1124" t="s">
        <v>2207</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2208</v>
      </c>
      <c r="V62" s="1124"/>
      <c r="W62" s="1124"/>
      <c r="X62" s="1124"/>
      <c r="Y62" s="1124"/>
      <c r="Z62" s="527" t="str">
        <f>IF(AND(B9&lt;&gt;"処遇加算なし",F15=4),IF(V40="✓",1,IF(V41="✓",2,"")),"")</f>
        <v/>
      </c>
      <c r="AA62" s="245"/>
      <c r="AB62" s="249"/>
      <c r="AC62" s="1124" t="s">
        <v>2208</v>
      </c>
      <c r="AD62" s="1124"/>
      <c r="AE62" s="1124"/>
      <c r="AF62" s="1124"/>
      <c r="AG62" s="1124"/>
      <c r="AH62" s="170">
        <f>IF(AND(F15&lt;&gt;4,F15&lt;&gt;5),0,IF(AY8="○",1,2))</f>
        <v>2</v>
      </c>
      <c r="AI62" s="253"/>
      <c r="AJ62" s="249"/>
      <c r="AK62" s="1124" t="s">
        <v>2208</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2209</v>
      </c>
      <c r="V63" s="1012"/>
      <c r="W63" s="1012"/>
      <c r="X63" s="1012"/>
      <c r="Y63" s="1012"/>
      <c r="Z63" s="527" t="str">
        <f>IF(AND(B9&lt;&gt;"処遇加算なし",F15=4),IF(V44="✓",1,IF(V45="✓",2,"")),"")</f>
        <v/>
      </c>
      <c r="AA63" s="245"/>
      <c r="AB63" s="249"/>
      <c r="AC63" s="1012" t="s">
        <v>2209</v>
      </c>
      <c r="AD63" s="1012"/>
      <c r="AE63" s="1012"/>
      <c r="AF63" s="1012"/>
      <c r="AG63" s="1012"/>
      <c r="AH63" s="170">
        <f>IF(AND(F15&lt;&gt;4,F15&lt;&gt;5),0,IF(AZ8="○",1,2))</f>
        <v>2</v>
      </c>
      <c r="AI63" s="253"/>
      <c r="AJ63" s="249"/>
      <c r="AK63" s="1012" t="s">
        <v>2209</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46</xdr:row>
                    <xdr:rowOff>47625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152400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問山　直子</cp:lastModifiedBy>
  <cp:lastPrinted>2024-03-22T02:17:11Z</cp:lastPrinted>
  <dcterms:created xsi:type="dcterms:W3CDTF">2015-06-05T18:19:34Z</dcterms:created>
  <dcterms:modified xsi:type="dcterms:W3CDTF">2024-03-22T02:18:21Z</dcterms:modified>
</cp:coreProperties>
</file>